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6 Amendments\City Council\Post Meeting Documents\6-9-26\"/>
    </mc:Choice>
  </mc:AlternateContent>
  <xr:revisionPtr revIDLastSave="0" documentId="13_ncr:1_{BC9D08BF-71EB-4A27-92C2-1509A56DD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Attachment!$A$1:$F$551</definedName>
    <definedName name="Z_42656511_B4D8_4F96_B13E_D97906B3341F_.wvu.PrintArea" localSheetId="0" hidden="1">Attachment!$A$1:$F$537</definedName>
    <definedName name="Z_C6D943DA_BB19_43A1_B830_736D9C012146_.wvu.PrintArea" localSheetId="0" hidden="1">Attachment!$A$1:$F$537</definedName>
  </definedNames>
  <calcPr calcId="191029"/>
  <customWorkbookViews>
    <customWorkbookView name="eric.crawford - Personal View" guid="{42656511-B4D8-4F96-B13E-D97906B3341F}" mergeInterval="0" personalView="1" xWindow="-8" windowWidth="1928" windowHeight="1040" activeSheetId="1"/>
    <customWorkbookView name="Marla Keehn - Personal View" guid="{C6D943DA-BB19-43A1-B830-736D9C012146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9" i="1" l="1"/>
  <c r="E79" i="1"/>
  <c r="E296" i="1"/>
  <c r="F295" i="1"/>
  <c r="E293" i="1"/>
  <c r="F292" i="1"/>
  <c r="E288" i="1"/>
  <c r="F287" i="1"/>
  <c r="E285" i="1"/>
  <c r="F284" i="1"/>
  <c r="F135" i="1"/>
  <c r="F134" i="1"/>
  <c r="F60" i="1"/>
  <c r="E549" i="1"/>
  <c r="E124" i="1"/>
  <c r="F117" i="1"/>
  <c r="F40" i="1" l="1"/>
  <c r="F42" i="1"/>
  <c r="E189" i="1"/>
  <c r="E155" i="1"/>
  <c r="E195" i="1" s="1"/>
  <c r="E266" i="1"/>
  <c r="E264" i="1"/>
  <c r="F264" i="1" s="1"/>
  <c r="E143" i="1" l="1"/>
  <c r="E111" i="1"/>
  <c r="E35" i="1"/>
  <c r="E140" i="1"/>
  <c r="E126" i="1"/>
  <c r="E127" i="1" s="1"/>
  <c r="F110" i="1"/>
  <c r="F532" i="1"/>
  <c r="F531" i="1"/>
  <c r="F526" i="1"/>
  <c r="F525" i="1"/>
  <c r="F520" i="1"/>
  <c r="F519" i="1"/>
  <c r="F511" i="1"/>
  <c r="F510" i="1"/>
  <c r="F505" i="1"/>
  <c r="F504" i="1"/>
  <c r="F499" i="1"/>
  <c r="F498" i="1"/>
  <c r="F493" i="1"/>
  <c r="F492" i="1"/>
  <c r="F487" i="1"/>
  <c r="F486" i="1"/>
  <c r="F481" i="1"/>
  <c r="F480" i="1"/>
  <c r="F477" i="1"/>
  <c r="F476" i="1"/>
  <c r="F471" i="1"/>
  <c r="F470" i="1"/>
  <c r="F462" i="1"/>
  <c r="F461" i="1"/>
  <c r="F456" i="1"/>
  <c r="F455" i="1"/>
  <c r="F450" i="1"/>
  <c r="F449" i="1"/>
  <c r="F444" i="1"/>
  <c r="F443" i="1"/>
  <c r="F436" i="1"/>
  <c r="F435" i="1"/>
  <c r="F434" i="1"/>
  <c r="F440" i="1" s="1"/>
  <c r="F433" i="1"/>
  <c r="F439" i="1" s="1"/>
  <c r="F428" i="1"/>
  <c r="E427" i="1"/>
  <c r="F427" i="1" s="1"/>
  <c r="F426" i="1"/>
  <c r="F432" i="1" s="1"/>
  <c r="F425" i="1"/>
  <c r="F431" i="1" s="1"/>
  <c r="F417" i="1"/>
  <c r="F416" i="1"/>
  <c r="F411" i="1"/>
  <c r="F410" i="1"/>
  <c r="F405" i="1"/>
  <c r="F404" i="1"/>
  <c r="F401" i="1"/>
  <c r="F400" i="1"/>
  <c r="F395" i="1"/>
  <c r="F394" i="1"/>
  <c r="F393" i="1"/>
  <c r="F392" i="1"/>
  <c r="F387" i="1"/>
  <c r="E386" i="1"/>
  <c r="F386" i="1" s="1"/>
  <c r="F385" i="1"/>
  <c r="F384" i="1"/>
  <c r="F379" i="1"/>
  <c r="F378" i="1"/>
  <c r="F368" i="1"/>
  <c r="F366" i="1"/>
  <c r="F361" i="1"/>
  <c r="F360" i="1"/>
  <c r="F355" i="1"/>
  <c r="F354" i="1"/>
  <c r="F349" i="1"/>
  <c r="F348" i="1"/>
  <c r="E344" i="1"/>
  <c r="F343" i="1"/>
  <c r="F341" i="1"/>
  <c r="F442" i="1" s="1"/>
  <c r="F448" i="1" s="1"/>
  <c r="F454" i="1" s="1"/>
  <c r="F460" i="1" s="1"/>
  <c r="F466" i="1" s="1"/>
  <c r="F475" i="1" s="1"/>
  <c r="F479" i="1" s="1"/>
  <c r="F485" i="1" s="1"/>
  <c r="F491" i="1" s="1"/>
  <c r="F497" i="1" s="1"/>
  <c r="F503" i="1" s="1"/>
  <c r="F509" i="1" s="1"/>
  <c r="F518" i="1" s="1"/>
  <c r="F524" i="1" s="1"/>
  <c r="F530" i="1" s="1"/>
  <c r="F340" i="1"/>
  <c r="F441" i="1" s="1"/>
  <c r="F447" i="1" s="1"/>
  <c r="F453" i="1" s="1"/>
  <c r="F459" i="1" s="1"/>
  <c r="F465" i="1" s="1"/>
  <c r="F474" i="1" s="1"/>
  <c r="F478" i="1" s="1"/>
  <c r="F484" i="1" s="1"/>
  <c r="F490" i="1" s="1"/>
  <c r="F496" i="1" s="1"/>
  <c r="F502" i="1" s="1"/>
  <c r="F508" i="1" s="1"/>
  <c r="F514" i="1" s="1"/>
  <c r="F523" i="1" s="1"/>
  <c r="F529" i="1" s="1"/>
  <c r="F339" i="1"/>
  <c r="F347" i="1" s="1"/>
  <c r="F353" i="1" s="1"/>
  <c r="F359" i="1" s="1"/>
  <c r="F365" i="1" s="1"/>
  <c r="F377" i="1" s="1"/>
  <c r="F383" i="1" s="1"/>
  <c r="F391" i="1" s="1"/>
  <c r="F399" i="1" s="1"/>
  <c r="F403" i="1" s="1"/>
  <c r="F409" i="1" s="1"/>
  <c r="F415" i="1" s="1"/>
  <c r="F424" i="1" s="1"/>
  <c r="F338" i="1"/>
  <c r="F346" i="1" s="1"/>
  <c r="F352" i="1" s="1"/>
  <c r="F358" i="1" s="1"/>
  <c r="F364" i="1" s="1"/>
  <c r="F372" i="1" s="1"/>
  <c r="F382" i="1" s="1"/>
  <c r="F390" i="1" s="1"/>
  <c r="F398" i="1" s="1"/>
  <c r="F402" i="1" s="1"/>
  <c r="F408" i="1" s="1"/>
  <c r="F414" i="1" s="1"/>
  <c r="F423" i="1" s="1"/>
  <c r="E333" i="1"/>
  <c r="F332" i="1"/>
  <c r="F345" i="1" s="1"/>
  <c r="F351" i="1" s="1"/>
  <c r="F357" i="1" s="1"/>
  <c r="F363" i="1" s="1"/>
  <c r="F371" i="1" s="1"/>
  <c r="F381" i="1" s="1"/>
  <c r="F389" i="1" s="1"/>
  <c r="F397" i="1" s="1"/>
  <c r="F407" i="1" s="1"/>
  <c r="F413" i="1" s="1"/>
  <c r="F422" i="1" s="1"/>
  <c r="F430" i="1" s="1"/>
  <c r="F438" i="1" s="1"/>
  <c r="F446" i="1" s="1"/>
  <c r="F452" i="1" s="1"/>
  <c r="F458" i="1" s="1"/>
  <c r="F464" i="1" s="1"/>
  <c r="F473" i="1" s="1"/>
  <c r="F483" i="1" s="1"/>
  <c r="F489" i="1" s="1"/>
  <c r="F495" i="1" s="1"/>
  <c r="F501" i="1" s="1"/>
  <c r="F507" i="1" s="1"/>
  <c r="F513" i="1" s="1"/>
  <c r="F522" i="1" s="1"/>
  <c r="F528" i="1" s="1"/>
  <c r="E330" i="1"/>
  <c r="F329" i="1"/>
  <c r="E322" i="1"/>
  <c r="F321" i="1"/>
  <c r="E319" i="1"/>
  <c r="F318" i="1"/>
  <c r="E314" i="1"/>
  <c r="F313" i="1"/>
  <c r="E311" i="1"/>
  <c r="F310" i="1"/>
  <c r="E306" i="1"/>
  <c r="F305" i="1"/>
  <c r="E303" i="1"/>
  <c r="F302" i="1"/>
  <c r="E158" i="1"/>
  <c r="E183" i="1"/>
  <c r="E180" i="1"/>
  <c r="F179" i="1"/>
  <c r="E217" i="1"/>
  <c r="F216" i="1"/>
  <c r="E214" i="1"/>
  <c r="F213" i="1"/>
  <c r="F212" i="1"/>
  <c r="E254" i="1"/>
  <c r="F253" i="1"/>
  <c r="E251" i="1"/>
  <c r="F250" i="1"/>
  <c r="E243" i="1"/>
  <c r="F242" i="1"/>
  <c r="E240" i="1"/>
  <c r="F239" i="1"/>
  <c r="F238" i="1"/>
  <c r="E208" i="1"/>
  <c r="F207" i="1"/>
  <c r="E205" i="1"/>
  <c r="F204" i="1"/>
  <c r="F142" i="1"/>
  <c r="F139" i="1"/>
  <c r="E136" i="1"/>
  <c r="F125" i="1"/>
  <c r="F124" i="1"/>
  <c r="F123" i="1"/>
  <c r="F122" i="1"/>
  <c r="F121" i="1"/>
  <c r="F120" i="1"/>
  <c r="F119" i="1"/>
  <c r="F118" i="1"/>
  <c r="F116" i="1"/>
  <c r="F115" i="1"/>
  <c r="F114" i="1"/>
  <c r="F113" i="1"/>
  <c r="F109" i="1"/>
  <c r="F108" i="1"/>
  <c r="F107" i="1"/>
  <c r="F106" i="1"/>
  <c r="F105" i="1"/>
  <c r="F104" i="1"/>
  <c r="F103" i="1"/>
  <c r="E96" i="1"/>
  <c r="E98" i="1" s="1"/>
  <c r="E92" i="1"/>
  <c r="F91" i="1"/>
  <c r="E89" i="1"/>
  <c r="F88" i="1"/>
  <c r="F95" i="1" s="1"/>
  <c r="F87" i="1"/>
  <c r="F94" i="1" s="1"/>
  <c r="E85" i="1"/>
  <c r="F84" i="1"/>
  <c r="E61" i="1"/>
  <c r="E58" i="1"/>
  <c r="F57" i="1"/>
  <c r="E53" i="1"/>
  <c r="F52" i="1"/>
  <c r="E50" i="1"/>
  <c r="F49" i="1"/>
  <c r="F174" i="1"/>
  <c r="F171" i="1"/>
  <c r="E175" i="1"/>
  <c r="E172" i="1"/>
  <c r="F152" i="1"/>
  <c r="E193" i="1"/>
  <c r="E268" i="1"/>
  <c r="F268" i="1" s="1"/>
  <c r="E65" i="1"/>
  <c r="F34" i="1"/>
  <c r="F33" i="1"/>
  <c r="E225" i="1"/>
  <c r="F222" i="1"/>
  <c r="E223" i="1"/>
  <c r="F221" i="1"/>
  <c r="F233" i="1"/>
  <c r="F230" i="1"/>
  <c r="E234" i="1"/>
  <c r="E231" i="1"/>
  <c r="E43" i="1"/>
  <c r="E145" i="1" l="1"/>
  <c r="F344" i="1"/>
  <c r="F350" i="1" s="1"/>
  <c r="F356" i="1" s="1"/>
  <c r="F362" i="1" s="1"/>
  <c r="F370" i="1" s="1"/>
  <c r="F380" i="1" s="1"/>
  <c r="F388" i="1" s="1"/>
  <c r="F396" i="1" s="1"/>
  <c r="F406" i="1" s="1"/>
  <c r="F412" i="1" s="1"/>
  <c r="F418" i="1" s="1"/>
  <c r="F429" i="1" s="1"/>
  <c r="F437" i="1" s="1"/>
  <c r="F445" i="1" s="1"/>
  <c r="F451" i="1" s="1"/>
  <c r="F457" i="1" s="1"/>
  <c r="F463" i="1" s="1"/>
  <c r="F472" i="1" s="1"/>
  <c r="F482" i="1" s="1"/>
  <c r="F488" i="1" s="1"/>
  <c r="F494" i="1" s="1"/>
  <c r="F500" i="1" s="1"/>
  <c r="F506" i="1" s="1"/>
  <c r="F512" i="1" s="1"/>
  <c r="F521" i="1" s="1"/>
  <c r="F527" i="1" s="1"/>
  <c r="F225" i="1"/>
  <c r="E226" i="1"/>
  <c r="E20" i="1"/>
  <c r="F19" i="1"/>
  <c r="E17" i="1"/>
  <c r="F16" i="1"/>
  <c r="E277" i="1" l="1"/>
  <c r="F276" i="1"/>
  <c r="E274" i="1"/>
  <c r="F273" i="1"/>
  <c r="E77" i="1"/>
  <c r="E74" i="1"/>
  <c r="F157" i="1"/>
  <c r="F187" i="1"/>
  <c r="F188" i="1" s="1"/>
  <c r="F154" i="1"/>
  <c r="F153" i="1"/>
  <c r="F191" i="1"/>
  <c r="F192" i="1" s="1"/>
  <c r="E547" i="1" l="1"/>
  <c r="F546" i="1"/>
  <c r="E544" i="1"/>
  <c r="F543" i="1"/>
  <c r="E167" i="1"/>
  <c r="F166" i="1"/>
  <c r="E164" i="1"/>
  <c r="F163" i="1"/>
  <c r="F11" i="1" l="1"/>
  <c r="F8" i="1"/>
  <c r="E12" i="1"/>
  <c r="E9" i="1"/>
  <c r="E27" i="1"/>
  <c r="F27" i="1" s="1"/>
  <c r="F32" i="1" s="1"/>
  <c r="F39" i="1" s="1"/>
  <c r="F41" i="1" s="1"/>
  <c r="F24" i="1" l="1"/>
  <c r="E28" i="1"/>
  <c r="E25" i="1"/>
</calcChain>
</file>

<file path=xl/sharedStrings.xml><?xml version="1.0" encoding="utf-8"?>
<sst xmlns="http://schemas.openxmlformats.org/spreadsheetml/2006/main" count="720" uniqueCount="219">
  <si>
    <t>INCREASE/</t>
  </si>
  <si>
    <t>REVISED</t>
  </si>
  <si>
    <t>DECREASE</t>
  </si>
  <si>
    <t>BUDGET</t>
  </si>
  <si>
    <t>Total</t>
  </si>
  <si>
    <t>ATTACHMENT "A"</t>
  </si>
  <si>
    <t>Revenue</t>
  </si>
  <si>
    <t>Expenditure</t>
  </si>
  <si>
    <t>CAPITAL IMPROVEMENT FUND</t>
  </si>
  <si>
    <t>Expenditures</t>
  </si>
  <si>
    <t>GENERAL PROJECTS (311 &amp; 312)</t>
  </si>
  <si>
    <t>Total Capital Improvement Fund Amendments</t>
  </si>
  <si>
    <t>STORMWATER PROJECTS (430)</t>
  </si>
  <si>
    <t>GENERAL FUND (001)</t>
  </si>
  <si>
    <t>Contingency</t>
  </si>
  <si>
    <t>IT Service Charge</t>
  </si>
  <si>
    <t>563000</t>
  </si>
  <si>
    <t>590300</t>
  </si>
  <si>
    <t>Unappropriated Budget Savings</t>
  </si>
  <si>
    <t>381000</t>
  </si>
  <si>
    <t>Inter In (001) General Fund</t>
  </si>
  <si>
    <t>31772</t>
  </si>
  <si>
    <t>564000</t>
  </si>
  <si>
    <t>Machinery &amp; Equipment</t>
  </si>
  <si>
    <t>WATER &amp; SEWER PROJECTS (413)</t>
  </si>
  <si>
    <t>413870</t>
  </si>
  <si>
    <t>387028</t>
  </si>
  <si>
    <t>Intra in (419) W&amp;S</t>
  </si>
  <si>
    <t>Improvements Other than Building</t>
  </si>
  <si>
    <t>30099 - Unappropriated Project Budget Savings</t>
  </si>
  <si>
    <t>30099</t>
  </si>
  <si>
    <t>41336</t>
  </si>
  <si>
    <t>(Transfer to General Fund - Information Technology)</t>
  </si>
  <si>
    <t>Total Water &amp; Sewer Fund Amendments</t>
  </si>
  <si>
    <t>Total General Fund Amendments</t>
  </si>
  <si>
    <t>(Insurance Proceeds)</t>
  </si>
  <si>
    <t>Insurance Payments/Reimbursements</t>
  </si>
  <si>
    <t>590310</t>
  </si>
  <si>
    <t>City Clerk</t>
  </si>
  <si>
    <t>Special Activity Services</t>
  </si>
  <si>
    <t>534000</t>
  </si>
  <si>
    <t>Other Contract Services</t>
  </si>
  <si>
    <t>(Revenue for special events)</t>
  </si>
  <si>
    <t>Fire Operations</t>
  </si>
  <si>
    <t>Mxxxx</t>
  </si>
  <si>
    <t>mxxxx</t>
  </si>
  <si>
    <t>562000</t>
  </si>
  <si>
    <t>Buildings</t>
  </si>
  <si>
    <t>General Fund Non-Departmental</t>
  </si>
  <si>
    <t>33516 - Grant Street WRF Facility Improvements</t>
  </si>
  <si>
    <t>413384</t>
  </si>
  <si>
    <t>338002</t>
  </si>
  <si>
    <t>33516</t>
  </si>
  <si>
    <t>Save Our Lagoon (SOIRL) Trust</t>
  </si>
  <si>
    <t>41335</t>
  </si>
  <si>
    <t>Insurance Payments/Reimbursement</t>
  </si>
  <si>
    <t>Rentals &amp; Leases</t>
  </si>
  <si>
    <t>Contractual Employee</t>
  </si>
  <si>
    <t>Repair &amp; Maintenance</t>
  </si>
  <si>
    <t>Miscellaneous Equipment &amp; Furnishings</t>
  </si>
  <si>
    <t>Information Technology</t>
  </si>
  <si>
    <t>(Transfer from Water &amp; Sewer Fund)</t>
  </si>
  <si>
    <t>Information Technology Charge</t>
  </si>
  <si>
    <t>10317 - PD Headquarters Building Project</t>
  </si>
  <si>
    <t>312691</t>
  </si>
  <si>
    <t>369921</t>
  </si>
  <si>
    <t>10317</t>
  </si>
  <si>
    <t>FPL Rebate</t>
  </si>
  <si>
    <t>546080</t>
  </si>
  <si>
    <t>Repair &amp; Maintenance - Computer</t>
  </si>
  <si>
    <t>MXXXX - Replacement Patrol Vehicles</t>
  </si>
  <si>
    <t>3213870</t>
  </si>
  <si>
    <t>321420</t>
  </si>
  <si>
    <t>Food Supplies</t>
  </si>
  <si>
    <t>Alcohol Supplies</t>
  </si>
  <si>
    <t>Pro Shop Merchandise</t>
  </si>
  <si>
    <t>39526</t>
  </si>
  <si>
    <t>Intra In (419) W&amp;S</t>
  </si>
  <si>
    <t>Golf Greens Fees (T)</t>
  </si>
  <si>
    <t>Golf Driving Range (T)</t>
  </si>
  <si>
    <t>Golf Course Food Sales</t>
  </si>
  <si>
    <t>Golf Course Alcohol Sales</t>
  </si>
  <si>
    <t>Golf Cart Rental (T)</t>
  </si>
  <si>
    <t>34726</t>
  </si>
  <si>
    <t>34726 - PW&amp;U Admin Building Generator Replacement</t>
  </si>
  <si>
    <t>13000516</t>
  </si>
  <si>
    <t>552025</t>
  </si>
  <si>
    <t>Computer Equipment</t>
  </si>
  <si>
    <t>53000522</t>
  </si>
  <si>
    <t>Other Contractual Services</t>
  </si>
  <si>
    <t>M2615 - Fire Department New SCBA Compressor &amp; Fill System for Training Center</t>
  </si>
  <si>
    <t>20020 - Spring Creek Baffle Box</t>
  </si>
  <si>
    <t>433384</t>
  </si>
  <si>
    <t>20020</t>
  </si>
  <si>
    <t>Save Our Indian Lagoon Trust</t>
  </si>
  <si>
    <t>43338</t>
  </si>
  <si>
    <t>Improvements Other Than Building</t>
  </si>
  <si>
    <t>14026 - Harper Rd. Complex Asphalt Paving</t>
  </si>
  <si>
    <t>314810</t>
  </si>
  <si>
    <t>14026</t>
  </si>
  <si>
    <t>381006</t>
  </si>
  <si>
    <t>Inter In (401) Water &amp; Sewer Fund</t>
  </si>
  <si>
    <t>31441</t>
  </si>
  <si>
    <t>565010</t>
  </si>
  <si>
    <t>Infrastructure - Streets</t>
  </si>
  <si>
    <t>317810</t>
  </si>
  <si>
    <t>12823</t>
  </si>
  <si>
    <t>12823 - Harbor City Golf Course Restroom Building</t>
  </si>
  <si>
    <t>310810</t>
  </si>
  <si>
    <t>10099</t>
  </si>
  <si>
    <t>31019</t>
  </si>
  <si>
    <t>10099 - Unappropriated Project Budget Savings</t>
  </si>
  <si>
    <t>SHIP Program Administration Revenue</t>
  </si>
  <si>
    <t>5653810</t>
  </si>
  <si>
    <t>Inter in (125) SHIP</t>
  </si>
  <si>
    <t>5783613</t>
  </si>
  <si>
    <t>57800581</t>
  </si>
  <si>
    <t>Inter to (001) General Fund</t>
  </si>
  <si>
    <t>Rehabilitation Contracts</t>
  </si>
  <si>
    <t>5783343</t>
  </si>
  <si>
    <t>Program Income</t>
  </si>
  <si>
    <t>Total SHIP Fund Amendments</t>
  </si>
  <si>
    <t>31221</t>
  </si>
  <si>
    <t>387046</t>
  </si>
  <si>
    <t>M0099</t>
  </si>
  <si>
    <t>Inter In (329) M&amp;E Fund</t>
  </si>
  <si>
    <t>321099</t>
  </si>
  <si>
    <t>M0099 - Unappropriated M&amp;E Savings</t>
  </si>
  <si>
    <t>9293640</t>
  </si>
  <si>
    <t>364003</t>
  </si>
  <si>
    <t>Surplus Equipment</t>
  </si>
  <si>
    <t>9293692</t>
  </si>
  <si>
    <t>369301</t>
  </si>
  <si>
    <t>92900587</t>
  </si>
  <si>
    <t>591760</t>
  </si>
  <si>
    <t>Intra To (321) M&amp;E Fund</t>
  </si>
  <si>
    <t>(Lake Washington Mitigation Bank Appropriation)</t>
  </si>
  <si>
    <t>9013622</t>
  </si>
  <si>
    <t>362010</t>
  </si>
  <si>
    <t>Lake Washington Mitigation Bank</t>
  </si>
  <si>
    <t>Inter to (361) Transporation Projects</t>
  </si>
  <si>
    <t>TRANSPORTATION PROJECTS (361)</t>
  </si>
  <si>
    <t>64525 - Washingtonia Drive Extension</t>
  </si>
  <si>
    <t>364870</t>
  </si>
  <si>
    <t>64525</t>
  </si>
  <si>
    <t>36441</t>
  </si>
  <si>
    <t>Infrastucture - Streets</t>
  </si>
  <si>
    <t>Recreation</t>
  </si>
  <si>
    <t>9013663</t>
  </si>
  <si>
    <t>366000</t>
  </si>
  <si>
    <t>Contributions - Fireworks</t>
  </si>
  <si>
    <t>4th of July Fireworks</t>
  </si>
  <si>
    <t>10621</t>
  </si>
  <si>
    <t>381017</t>
  </si>
  <si>
    <t>Inter In (371) Recreation</t>
  </si>
  <si>
    <t>Intra In (329) M&amp;E Fund</t>
  </si>
  <si>
    <t>M2615</t>
  </si>
  <si>
    <t>321530</t>
  </si>
  <si>
    <t>Transfer from M&amp;E Replacement Fund, Funding for Project M2615</t>
  </si>
  <si>
    <t>10126</t>
  </si>
  <si>
    <t>562010</t>
  </si>
  <si>
    <t>Building Improvements</t>
  </si>
  <si>
    <t>11319 - FEMA Generators - Fire &amp; Fleet</t>
  </si>
  <si>
    <t>322314</t>
  </si>
  <si>
    <t>331239</t>
  </si>
  <si>
    <t>11319</t>
  </si>
  <si>
    <t>FEMA PS Hazard Mitigation Grant</t>
  </si>
  <si>
    <t>322810</t>
  </si>
  <si>
    <t>Parks Maintenance</t>
  </si>
  <si>
    <t>546090</t>
  </si>
  <si>
    <t>546000</t>
  </si>
  <si>
    <t xml:space="preserve">Repair &amp; Maintenance </t>
  </si>
  <si>
    <t>Engineering/ Police Department/ Community Development</t>
  </si>
  <si>
    <t>361100</t>
  </si>
  <si>
    <t>Interest Income - EPC</t>
  </si>
  <si>
    <t>9293611</t>
  </si>
  <si>
    <t>Recognize Insurance Proceeds, Surplus Equipment Sales, and Interest earned</t>
  </si>
  <si>
    <t>9673611</t>
  </si>
  <si>
    <t>96700587</t>
  </si>
  <si>
    <t>591610</t>
  </si>
  <si>
    <t>Intra to (361) Transportation</t>
  </si>
  <si>
    <t>60099</t>
  </si>
  <si>
    <t>387047</t>
  </si>
  <si>
    <t>Intra In (367) PMP Fund</t>
  </si>
  <si>
    <t>Interest Income - Restricted</t>
  </si>
  <si>
    <t>2023 WS Bond Issue Proceeds</t>
  </si>
  <si>
    <t>Future Bond Proceeds</t>
  </si>
  <si>
    <t>Improvements Other Than Building - Design</t>
  </si>
  <si>
    <t>3213340</t>
  </si>
  <si>
    <t>334360</t>
  </si>
  <si>
    <t>M2644</t>
  </si>
  <si>
    <t>M2644 - (2) Replacement Streets Management Dump Trucks</t>
  </si>
  <si>
    <t>FPEP Grant</t>
  </si>
  <si>
    <t>321645</t>
  </si>
  <si>
    <t>0133412</t>
  </si>
  <si>
    <t>39526 - PW&amp;U Administration Modular Building</t>
  </si>
  <si>
    <t>(Transfer to CIP 12813 &amp; 14026, and appropriations from interest earned)</t>
  </si>
  <si>
    <t>10621 - Golf Course Improvements (Electrical Work for Irrigation)</t>
  </si>
  <si>
    <t>(Fireworks Donations)</t>
  </si>
  <si>
    <t>MACHINERY &amp; EQUIPMENT REPLACEMENT FUND (321/329)</t>
  </si>
  <si>
    <t>60099 - PMP Unappropriated Budget Savings</t>
  </si>
  <si>
    <t>PAVEMENT MANAGEMENT PROGRAM (361/367)</t>
  </si>
  <si>
    <t>BOND ARBITRAGE</t>
  </si>
  <si>
    <t>Appropriate Insurance Proceeds</t>
  </si>
  <si>
    <t>(Transfer to CIP 39526, 34726, 14026)</t>
  </si>
  <si>
    <t>Repair &amp; Maintenance - Pumps/Motors</t>
  </si>
  <si>
    <t>Continued</t>
  </si>
  <si>
    <t>Total Golf Courses Fund Amendments</t>
  </si>
  <si>
    <t>STATE HOUSING INITIATIVE PROGRAM (SHIP) (125)</t>
  </si>
  <si>
    <t>GOLF COURSES FUND (175)</t>
  </si>
  <si>
    <t>WATER &amp; SEWER FUND (401)</t>
  </si>
  <si>
    <r>
      <t>BOND ARBITRAGE</t>
    </r>
    <r>
      <rPr>
        <b/>
        <i/>
        <u/>
        <sz val="10.5"/>
        <color theme="1"/>
        <rFont val="Arial"/>
        <family val="2"/>
      </rPr>
      <t xml:space="preserve"> </t>
    </r>
    <r>
      <rPr>
        <i/>
        <u/>
        <sz val="10.5"/>
        <color theme="1"/>
        <rFont val="Arial"/>
        <family val="2"/>
      </rPr>
      <t>(continued)</t>
    </r>
  </si>
  <si>
    <t>Intra In (419) 23 Bond Interest</t>
  </si>
  <si>
    <t>Series 2023 W&amp;S Arbitrage</t>
  </si>
  <si>
    <t>Joseph N. Davis Community Center</t>
  </si>
  <si>
    <t>10126 - Joseph N. Davis Community Center 15-Ton AC Units</t>
  </si>
  <si>
    <t>Total Machinery &amp; Equipment Fund Amendments</t>
  </si>
  <si>
    <t>01300512</t>
  </si>
  <si>
    <t>32222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</si>
</sst>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0&quot;_);_(@_)"/>
    <numFmt numFmtId="165" formatCode="_(* #,##0_);_(* \(#,##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u/>
      <sz val="10.5"/>
      <color theme="1"/>
      <name val="Arial"/>
      <family val="2"/>
    </font>
    <font>
      <i/>
      <sz val="9"/>
      <color theme="1"/>
      <name val="Arial"/>
      <family val="2"/>
    </font>
    <font>
      <i/>
      <sz val="10.5"/>
      <color theme="1"/>
      <name val="Arial"/>
      <family val="2"/>
    </font>
    <font>
      <b/>
      <i/>
      <u/>
      <sz val="10.5"/>
      <color theme="1"/>
      <name val="Arial"/>
      <family val="2"/>
    </font>
    <font>
      <i/>
      <u/>
      <sz val="10.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  <xf numFmtId="43" fontId="19" fillId="0" borderId="0" applyFont="0" applyFill="0" applyBorder="0" applyAlignment="0" applyProtection="0"/>
  </cellStyleXfs>
  <cellXfs count="55">
    <xf numFmtId="0" fontId="0" fillId="0" borderId="0" xfId="0"/>
    <xf numFmtId="165" fontId="20" fillId="0" borderId="0" xfId="44" applyNumberFormat="1" applyFont="1" applyFill="1" applyAlignment="1">
      <alignment vertical="center"/>
    </xf>
    <xf numFmtId="49" fontId="20" fillId="33" borderId="0" xfId="0" applyNumberFormat="1" applyFont="1" applyFill="1" applyAlignment="1">
      <alignment horizontal="center" vertical="center"/>
    </xf>
    <xf numFmtId="43" fontId="20" fillId="0" borderId="0" xfId="44" applyFont="1" applyFill="1" applyBorder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vertical="center"/>
    </xf>
    <xf numFmtId="37" fontId="21" fillId="0" borderId="3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7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37" fontId="20" fillId="0" borderId="3" xfId="0" applyNumberFormat="1" applyFont="1" applyBorder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21" fillId="0" borderId="2" xfId="0" applyNumberFormat="1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right" vertical="center"/>
    </xf>
    <xf numFmtId="49" fontId="21" fillId="0" borderId="3" xfId="0" applyNumberFormat="1" applyFont="1" applyBorder="1" applyAlignment="1">
      <alignment vertical="center"/>
    </xf>
    <xf numFmtId="49" fontId="21" fillId="0" borderId="0" xfId="0" applyNumberFormat="1" applyFont="1" applyAlignment="1">
      <alignment vertical="center"/>
    </xf>
    <xf numFmtId="37" fontId="21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37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quotePrefix="1" applyFont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center"/>
    </xf>
    <xf numFmtId="37" fontId="20" fillId="33" borderId="0" xfId="0" applyNumberFormat="1" applyFont="1" applyFill="1" applyAlignment="1">
      <alignment vertical="center"/>
    </xf>
    <xf numFmtId="49" fontId="22" fillId="33" borderId="0" xfId="0" applyNumberFormat="1" applyFont="1" applyFill="1" applyAlignment="1">
      <alignment horizontal="left" vertical="center"/>
    </xf>
    <xf numFmtId="165" fontId="20" fillId="33" borderId="0" xfId="0" applyNumberFormat="1" applyFont="1" applyFill="1" applyAlignment="1">
      <alignment vertical="center"/>
    </xf>
    <xf numFmtId="0" fontId="20" fillId="0" borderId="0" xfId="0" applyFont="1" applyAlignment="1">
      <alignment horizontal="center"/>
    </xf>
    <xf numFmtId="43" fontId="20" fillId="0" borderId="0" xfId="44" applyFont="1" applyFill="1"/>
    <xf numFmtId="43" fontId="20" fillId="0" borderId="3" xfId="44" applyFont="1" applyFill="1" applyBorder="1"/>
    <xf numFmtId="37" fontId="20" fillId="0" borderId="2" xfId="0" applyNumberFormat="1" applyFont="1" applyBorder="1" applyAlignment="1">
      <alignment vertical="center"/>
    </xf>
    <xf numFmtId="37" fontId="21" fillId="0" borderId="0" xfId="0" applyNumberFormat="1" applyFont="1" applyAlignment="1">
      <alignment vertical="center"/>
    </xf>
    <xf numFmtId="37" fontId="21" fillId="0" borderId="1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vertical="center"/>
    </xf>
    <xf numFmtId="164" fontId="26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37" fontId="20" fillId="0" borderId="13" xfId="0" applyNumberFormat="1" applyFont="1" applyBorder="1" applyAlignment="1">
      <alignment vertical="center"/>
    </xf>
    <xf numFmtId="43" fontId="20" fillId="0" borderId="0" xfId="44" applyFont="1" applyFill="1" applyBorder="1"/>
    <xf numFmtId="0" fontId="20" fillId="0" borderId="3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2" xr:uid="{00000000-0005-0000-0000-00001C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7000000}"/>
    <cellStyle name="Note 2" xfId="43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0"/>
  <sheetViews>
    <sheetView tabSelected="1" view="pageBreakPreview" zoomScaleNormal="100" zoomScaleSheetLayoutView="100" workbookViewId="0">
      <selection activeCell="D1" sqref="D1"/>
    </sheetView>
  </sheetViews>
  <sheetFormatPr defaultColWidth="9.140625" defaultRowHeight="15.95" customHeight="1" x14ac:dyDescent="0.2"/>
  <cols>
    <col min="1" max="1" width="13.5703125" style="4" customWidth="1"/>
    <col min="2" max="2" width="9.28515625" style="4" customWidth="1"/>
    <col min="3" max="3" width="7.5703125" style="17" customWidth="1"/>
    <col min="4" max="4" width="36.140625" style="7" customWidth="1"/>
    <col min="5" max="5" width="15.28515625" style="16" bestFit="1" customWidth="1"/>
    <col min="6" max="6" width="15.7109375" style="16" bestFit="1" customWidth="1"/>
    <col min="7" max="7" width="11.28515625" style="7" customWidth="1"/>
    <col min="8" max="8" width="7.85546875" style="7" bestFit="1" customWidth="1"/>
    <col min="9" max="9" width="14.5703125" style="7" bestFit="1" customWidth="1"/>
    <col min="10" max="10" width="9.140625" style="7"/>
    <col min="11" max="11" width="12.28515625" style="7" bestFit="1" customWidth="1"/>
    <col min="12" max="12" width="9.140625" style="7"/>
    <col min="13" max="15" width="14.7109375" style="7" bestFit="1" customWidth="1"/>
    <col min="16" max="16384" width="9.140625" style="7"/>
  </cols>
  <sheetData>
    <row r="1" spans="1:7" ht="15.95" customHeight="1" x14ac:dyDescent="0.2">
      <c r="B1" s="5"/>
      <c r="C1" s="5"/>
      <c r="D1" s="6" t="s">
        <v>5</v>
      </c>
      <c r="E1" s="5"/>
      <c r="F1" s="5"/>
    </row>
    <row r="3" spans="1:7" ht="15.75" customHeight="1" x14ac:dyDescent="0.2">
      <c r="A3" s="8" t="s">
        <v>13</v>
      </c>
      <c r="B3" s="9"/>
      <c r="C3" s="9"/>
      <c r="D3" s="9"/>
      <c r="E3" s="10" t="s">
        <v>0</v>
      </c>
      <c r="F3" s="10" t="s">
        <v>1</v>
      </c>
    </row>
    <row r="4" spans="1:7" ht="15.75" customHeight="1" x14ac:dyDescent="0.2">
      <c r="A4" s="11"/>
      <c r="B4" s="11"/>
      <c r="C4" s="11"/>
      <c r="D4" s="11"/>
      <c r="E4" s="12" t="s">
        <v>2</v>
      </c>
      <c r="F4" s="12" t="s">
        <v>3</v>
      </c>
    </row>
    <row r="5" spans="1:7" ht="15.75" customHeight="1" x14ac:dyDescent="0.2">
      <c r="A5" s="13" t="s">
        <v>38</v>
      </c>
      <c r="B5" s="14"/>
      <c r="C5" s="13"/>
      <c r="D5" s="15"/>
      <c r="F5" s="7"/>
      <c r="G5" s="34"/>
    </row>
    <row r="6" spans="1:7" ht="15.75" customHeight="1" x14ac:dyDescent="0.2">
      <c r="A6" s="18" t="s">
        <v>42</v>
      </c>
      <c r="B6" s="14"/>
      <c r="C6" s="13"/>
      <c r="D6" s="15"/>
      <c r="F6" s="7"/>
      <c r="G6" s="34"/>
    </row>
    <row r="7" spans="1:7" ht="15.75" customHeight="1" x14ac:dyDescent="0.2">
      <c r="A7" s="19" t="s">
        <v>6</v>
      </c>
      <c r="G7" s="34"/>
    </row>
    <row r="8" spans="1:7" ht="15.75" customHeight="1" x14ac:dyDescent="0.2">
      <c r="A8" s="35" t="s">
        <v>194</v>
      </c>
      <c r="B8" s="14">
        <v>341918</v>
      </c>
      <c r="C8" s="22"/>
      <c r="D8" s="7" t="s">
        <v>39</v>
      </c>
      <c r="E8" s="20">
        <v>17000</v>
      </c>
      <c r="F8" s="16">
        <f>E8+9000</f>
        <v>26000</v>
      </c>
      <c r="G8" s="34"/>
    </row>
    <row r="9" spans="1:7" ht="15.75" customHeight="1" x14ac:dyDescent="0.2">
      <c r="C9" s="22"/>
      <c r="D9" s="15" t="s">
        <v>4</v>
      </c>
      <c r="E9" s="16">
        <f>SUBTOTAL(9,E8:E8)</f>
        <v>17000</v>
      </c>
      <c r="G9" s="34"/>
    </row>
    <row r="10" spans="1:7" ht="15.75" customHeight="1" x14ac:dyDescent="0.2">
      <c r="A10" s="19" t="s">
        <v>7</v>
      </c>
      <c r="C10" s="22"/>
      <c r="G10" s="34"/>
    </row>
    <row r="11" spans="1:7" ht="15.75" customHeight="1" x14ac:dyDescent="0.2">
      <c r="A11" s="35" t="s">
        <v>217</v>
      </c>
      <c r="B11" s="4" t="s">
        <v>40</v>
      </c>
      <c r="C11" s="22"/>
      <c r="D11" s="7" t="s">
        <v>41</v>
      </c>
      <c r="E11" s="20">
        <v>17000</v>
      </c>
      <c r="F11" s="16">
        <f>E11+38532</f>
        <v>55532</v>
      </c>
      <c r="G11" s="34"/>
    </row>
    <row r="12" spans="1:7" ht="15.75" customHeight="1" x14ac:dyDescent="0.2">
      <c r="A12" s="23"/>
      <c r="B12" s="14"/>
      <c r="C12" s="13"/>
      <c r="D12" s="15" t="s">
        <v>4</v>
      </c>
      <c r="E12" s="16">
        <f>SUBTOTAL(9,E11:E11)</f>
        <v>17000</v>
      </c>
      <c r="F12" s="7"/>
      <c r="G12" s="34"/>
    </row>
    <row r="13" spans="1:7" ht="15.95" customHeight="1" x14ac:dyDescent="0.2">
      <c r="A13" s="13" t="s">
        <v>147</v>
      </c>
      <c r="B13" s="14"/>
      <c r="C13" s="13"/>
      <c r="D13" s="15"/>
      <c r="F13" s="7"/>
      <c r="G13" s="17"/>
    </row>
    <row r="14" spans="1:7" ht="15.95" customHeight="1" x14ac:dyDescent="0.2">
      <c r="A14" s="18" t="s">
        <v>198</v>
      </c>
      <c r="B14" s="14"/>
      <c r="C14" s="13"/>
      <c r="D14" s="15"/>
      <c r="F14" s="7"/>
      <c r="G14" s="17"/>
    </row>
    <row r="15" spans="1:7" ht="15.95" customHeight="1" x14ac:dyDescent="0.2">
      <c r="A15" s="19" t="s">
        <v>6</v>
      </c>
      <c r="B15" s="14"/>
      <c r="C15" s="13"/>
      <c r="D15" s="15"/>
      <c r="F15" s="7"/>
      <c r="G15" s="17"/>
    </row>
    <row r="16" spans="1:7" ht="15.95" customHeight="1" x14ac:dyDescent="0.2">
      <c r="A16" s="4" t="s">
        <v>148</v>
      </c>
      <c r="B16" s="4" t="s">
        <v>149</v>
      </c>
      <c r="D16" s="7" t="s">
        <v>150</v>
      </c>
      <c r="E16" s="20">
        <v>10000</v>
      </c>
      <c r="F16" s="16">
        <f>35000+E16</f>
        <v>45000</v>
      </c>
      <c r="G16" s="21"/>
    </row>
    <row r="17" spans="1:7" ht="15.95" customHeight="1" x14ac:dyDescent="0.2">
      <c r="A17" s="17"/>
      <c r="D17" s="15" t="s">
        <v>4</v>
      </c>
      <c r="E17" s="16">
        <f>E16</f>
        <v>10000</v>
      </c>
    </row>
    <row r="18" spans="1:7" ht="15.95" customHeight="1" x14ac:dyDescent="0.2">
      <c r="A18" s="19" t="s">
        <v>7</v>
      </c>
      <c r="C18" s="22"/>
      <c r="G18" s="17"/>
    </row>
    <row r="19" spans="1:7" ht="15.95" customHeight="1" x14ac:dyDescent="0.2">
      <c r="A19" s="14">
        <v>31000572</v>
      </c>
      <c r="B19" s="14">
        <v>548030</v>
      </c>
      <c r="D19" s="7" t="s">
        <v>151</v>
      </c>
      <c r="E19" s="20">
        <v>10000</v>
      </c>
      <c r="F19" s="16">
        <f>35000+E19</f>
        <v>45000</v>
      </c>
      <c r="G19" s="17"/>
    </row>
    <row r="20" spans="1:7" ht="13.5" customHeight="1" x14ac:dyDescent="0.2">
      <c r="A20" s="23"/>
      <c r="B20" s="14"/>
      <c r="C20" s="13"/>
      <c r="D20" s="15" t="s">
        <v>4</v>
      </c>
      <c r="E20" s="16">
        <f>SUBTOTAL(9,E19:E19)</f>
        <v>10000</v>
      </c>
      <c r="F20" s="7"/>
      <c r="G20" s="17"/>
    </row>
    <row r="21" spans="1:7" ht="15.75" customHeight="1" x14ac:dyDescent="0.2">
      <c r="A21" s="13" t="s">
        <v>214</v>
      </c>
      <c r="B21" s="14"/>
      <c r="C21" s="13"/>
      <c r="D21" s="15"/>
      <c r="F21" s="7"/>
      <c r="G21" s="34"/>
    </row>
    <row r="22" spans="1:7" ht="15.75" customHeight="1" x14ac:dyDescent="0.2">
      <c r="A22" s="18" t="s">
        <v>35</v>
      </c>
      <c r="B22" s="14"/>
      <c r="C22" s="13"/>
      <c r="D22" s="15"/>
      <c r="F22" s="7"/>
      <c r="G22" s="34"/>
    </row>
    <row r="23" spans="1:7" ht="15.75" customHeight="1" x14ac:dyDescent="0.2">
      <c r="A23" s="19" t="s">
        <v>6</v>
      </c>
      <c r="G23" s="34"/>
    </row>
    <row r="24" spans="1:7" ht="15.75" customHeight="1" x14ac:dyDescent="0.2">
      <c r="A24" s="14">
        <v>3153692</v>
      </c>
      <c r="B24" s="14">
        <v>369301</v>
      </c>
      <c r="C24" s="22"/>
      <c r="D24" s="7" t="s">
        <v>36</v>
      </c>
      <c r="E24" s="20">
        <v>45943</v>
      </c>
      <c r="F24" s="16">
        <f>E24</f>
        <v>45943</v>
      </c>
      <c r="G24" s="21"/>
    </row>
    <row r="25" spans="1:7" ht="15.75" customHeight="1" x14ac:dyDescent="0.2">
      <c r="C25" s="22"/>
      <c r="D25" s="15" t="s">
        <v>4</v>
      </c>
      <c r="E25" s="16">
        <f>SUBTOTAL(9,E24:E24)</f>
        <v>45943</v>
      </c>
      <c r="G25" s="34"/>
    </row>
    <row r="26" spans="1:7" ht="15.75" customHeight="1" x14ac:dyDescent="0.2">
      <c r="A26" s="19" t="s">
        <v>7</v>
      </c>
      <c r="C26" s="22"/>
      <c r="G26" s="34"/>
    </row>
    <row r="27" spans="1:7" ht="15.75" customHeight="1" x14ac:dyDescent="0.2">
      <c r="A27" s="14">
        <v>90100519</v>
      </c>
      <c r="B27" s="4" t="s">
        <v>37</v>
      </c>
      <c r="C27" s="22"/>
      <c r="D27" s="7" t="s">
        <v>14</v>
      </c>
      <c r="E27" s="20">
        <f>45943</f>
        <v>45943</v>
      </c>
      <c r="F27" s="16">
        <f>67528+E27</f>
        <v>113471</v>
      </c>
      <c r="G27" s="34"/>
    </row>
    <row r="28" spans="1:7" ht="15.75" customHeight="1" x14ac:dyDescent="0.2">
      <c r="A28" s="23"/>
      <c r="B28" s="14"/>
      <c r="C28" s="13"/>
      <c r="D28" s="15" t="s">
        <v>4</v>
      </c>
      <c r="E28" s="16">
        <f>SUBTOTAL(9,E27:E27)</f>
        <v>45943</v>
      </c>
      <c r="F28" s="7"/>
      <c r="G28" s="34"/>
    </row>
    <row r="29" spans="1:7" ht="15.75" customHeight="1" x14ac:dyDescent="0.2">
      <c r="A29" s="13" t="s">
        <v>168</v>
      </c>
      <c r="B29" s="14"/>
      <c r="C29" s="13"/>
      <c r="D29" s="15"/>
      <c r="F29" s="7"/>
      <c r="G29" s="34"/>
    </row>
    <row r="30" spans="1:7" ht="15.75" customHeight="1" x14ac:dyDescent="0.2">
      <c r="A30" s="13"/>
      <c r="B30" s="14"/>
      <c r="C30" s="13"/>
      <c r="D30" s="15"/>
      <c r="F30" s="7"/>
      <c r="G30" s="34"/>
    </row>
    <row r="31" spans="1:7" ht="15.75" customHeight="1" x14ac:dyDescent="0.2">
      <c r="A31" s="19" t="s">
        <v>7</v>
      </c>
      <c r="C31" s="22"/>
      <c r="G31" s="34"/>
    </row>
    <row r="32" spans="1:7" ht="15.75" customHeight="1" x14ac:dyDescent="0.2">
      <c r="A32" s="14">
        <v>90100519</v>
      </c>
      <c r="B32" s="4" t="s">
        <v>37</v>
      </c>
      <c r="C32" s="22"/>
      <c r="D32" s="7" t="s">
        <v>14</v>
      </c>
      <c r="E32" s="16">
        <v>-37000</v>
      </c>
      <c r="F32" s="16">
        <f>F27+E32</f>
        <v>76471</v>
      </c>
      <c r="G32" s="34"/>
    </row>
    <row r="33" spans="1:9" ht="15.75" customHeight="1" x14ac:dyDescent="0.2">
      <c r="A33" s="14">
        <v>34000572</v>
      </c>
      <c r="B33" s="4" t="s">
        <v>169</v>
      </c>
      <c r="C33" s="22"/>
      <c r="D33" s="7" t="s">
        <v>205</v>
      </c>
      <c r="E33" s="16">
        <v>22000</v>
      </c>
      <c r="F33" s="16">
        <f>39950+E33</f>
        <v>61950</v>
      </c>
      <c r="G33" s="34"/>
    </row>
    <row r="34" spans="1:9" ht="15.75" customHeight="1" x14ac:dyDescent="0.2">
      <c r="A34" s="14">
        <v>34000572</v>
      </c>
      <c r="B34" s="4" t="s">
        <v>170</v>
      </c>
      <c r="C34" s="22"/>
      <c r="D34" s="7" t="s">
        <v>171</v>
      </c>
      <c r="E34" s="20">
        <v>15000</v>
      </c>
      <c r="F34" s="16">
        <f>75000+E34</f>
        <v>90000</v>
      </c>
      <c r="G34" s="34"/>
    </row>
    <row r="35" spans="1:9" ht="15.75" customHeight="1" x14ac:dyDescent="0.2">
      <c r="A35" s="23"/>
      <c r="B35" s="14"/>
      <c r="C35" s="13"/>
      <c r="D35" s="15" t="s">
        <v>4</v>
      </c>
      <c r="E35" s="16">
        <f>SUBTOTAL(9,E32:E34)</f>
        <v>0</v>
      </c>
      <c r="F35" s="7"/>
      <c r="G35" s="34"/>
    </row>
    <row r="36" spans="1:9" ht="15.75" customHeight="1" x14ac:dyDescent="0.2">
      <c r="A36" s="13" t="s">
        <v>43</v>
      </c>
      <c r="B36" s="14"/>
      <c r="C36" s="13"/>
      <c r="D36" s="15"/>
      <c r="F36" s="7"/>
      <c r="G36" s="34"/>
    </row>
    <row r="37" spans="1:9" ht="15.75" customHeight="1" x14ac:dyDescent="0.2">
      <c r="A37" s="25"/>
      <c r="B37" s="14"/>
      <c r="C37" s="13"/>
      <c r="D37" s="15"/>
      <c r="F37" s="7"/>
      <c r="G37" s="34"/>
    </row>
    <row r="38" spans="1:9" ht="15.75" customHeight="1" x14ac:dyDescent="0.2">
      <c r="A38" s="19" t="s">
        <v>7</v>
      </c>
      <c r="C38" s="22"/>
      <c r="G38" s="34"/>
    </row>
    <row r="39" spans="1:9" ht="15.75" customHeight="1" x14ac:dyDescent="0.2">
      <c r="A39" s="14">
        <v>90100519</v>
      </c>
      <c r="B39" s="4" t="s">
        <v>37</v>
      </c>
      <c r="C39" s="22"/>
      <c r="D39" s="7" t="s">
        <v>14</v>
      </c>
      <c r="E39" s="16">
        <v>-35000</v>
      </c>
      <c r="F39" s="16">
        <f>F32+E39</f>
        <v>41471</v>
      </c>
      <c r="G39" s="34"/>
    </row>
    <row r="40" spans="1:9" ht="15.75" customHeight="1" x14ac:dyDescent="0.2">
      <c r="A40" s="14" t="s">
        <v>85</v>
      </c>
      <c r="B40" s="4" t="s">
        <v>86</v>
      </c>
      <c r="C40" s="22"/>
      <c r="D40" s="7" t="s">
        <v>87</v>
      </c>
      <c r="E40" s="16">
        <v>35000</v>
      </c>
      <c r="F40" s="16">
        <f>306159+E40</f>
        <v>341159</v>
      </c>
      <c r="G40" s="34"/>
    </row>
    <row r="41" spans="1:9" ht="15.75" customHeight="1" x14ac:dyDescent="0.2">
      <c r="A41" s="14">
        <v>90100519</v>
      </c>
      <c r="B41" s="4" t="s">
        <v>37</v>
      </c>
      <c r="C41" s="22"/>
      <c r="D41" s="7" t="s">
        <v>14</v>
      </c>
      <c r="E41" s="16">
        <v>-40000</v>
      </c>
      <c r="F41" s="16">
        <f>F39+E41</f>
        <v>1471</v>
      </c>
      <c r="G41" s="34"/>
    </row>
    <row r="42" spans="1:9" ht="15.75" customHeight="1" x14ac:dyDescent="0.2">
      <c r="A42" s="14" t="s">
        <v>88</v>
      </c>
      <c r="B42" s="4" t="s">
        <v>40</v>
      </c>
      <c r="C42" s="22"/>
      <c r="D42" s="7" t="s">
        <v>89</v>
      </c>
      <c r="E42" s="20">
        <v>40000</v>
      </c>
      <c r="F42" s="16">
        <f>26330+E42</f>
        <v>66330</v>
      </c>
      <c r="G42" s="34"/>
    </row>
    <row r="43" spans="1:9" ht="15.75" customHeight="1" x14ac:dyDescent="0.2">
      <c r="A43" s="23"/>
      <c r="B43" s="14"/>
      <c r="C43" s="13"/>
      <c r="D43" s="15" t="s">
        <v>4</v>
      </c>
      <c r="E43" s="16">
        <f>SUBTOTAL(9,E39:E42)</f>
        <v>0</v>
      </c>
      <c r="F43" s="7"/>
      <c r="G43" s="34"/>
    </row>
    <row r="44" spans="1:9" ht="15.75" customHeight="1" x14ac:dyDescent="0.2">
      <c r="A44" s="8" t="s">
        <v>13</v>
      </c>
      <c r="B44" s="9"/>
      <c r="C44" s="9"/>
      <c r="D44" s="9"/>
      <c r="E44" s="10" t="s">
        <v>0</v>
      </c>
      <c r="F44" s="10" t="s">
        <v>1</v>
      </c>
    </row>
    <row r="45" spans="1:9" ht="15.75" customHeight="1" x14ac:dyDescent="0.2">
      <c r="A45" s="48" t="s">
        <v>206</v>
      </c>
      <c r="B45" s="11"/>
      <c r="C45" s="11"/>
      <c r="D45" s="11"/>
      <c r="E45" s="12" t="s">
        <v>2</v>
      </c>
      <c r="F45" s="12" t="s">
        <v>3</v>
      </c>
    </row>
    <row r="46" spans="1:9" ht="15.95" customHeight="1" x14ac:dyDescent="0.2">
      <c r="A46" s="13" t="s">
        <v>112</v>
      </c>
      <c r="B46" s="14"/>
      <c r="C46" s="13"/>
      <c r="D46" s="15"/>
      <c r="F46" s="7"/>
      <c r="G46" s="17"/>
      <c r="I46" s="1"/>
    </row>
    <row r="47" spans="1:9" ht="15.95" customHeight="1" x14ac:dyDescent="0.2">
      <c r="A47" s="13"/>
      <c r="B47" s="14"/>
      <c r="C47" s="13"/>
      <c r="D47" s="15"/>
      <c r="F47" s="7"/>
      <c r="G47" s="17"/>
      <c r="I47" s="1"/>
    </row>
    <row r="48" spans="1:9" ht="15.95" customHeight="1" x14ac:dyDescent="0.2">
      <c r="A48" s="19" t="s">
        <v>6</v>
      </c>
      <c r="B48" s="14"/>
      <c r="C48" s="13"/>
      <c r="D48" s="15"/>
      <c r="F48" s="7"/>
      <c r="G48" s="17"/>
      <c r="I48" s="1"/>
    </row>
    <row r="49" spans="1:9" ht="15.95" customHeight="1" x14ac:dyDescent="0.2">
      <c r="A49" s="14" t="s">
        <v>113</v>
      </c>
      <c r="B49" s="14">
        <v>381025</v>
      </c>
      <c r="C49" s="22"/>
      <c r="D49" s="7" t="s">
        <v>114</v>
      </c>
      <c r="E49" s="20">
        <v>4248.18</v>
      </c>
      <c r="F49" s="16">
        <f>E49+61215</f>
        <v>65463.18</v>
      </c>
      <c r="G49" s="17"/>
      <c r="I49" s="1"/>
    </row>
    <row r="50" spans="1:9" ht="15.95" customHeight="1" x14ac:dyDescent="0.2">
      <c r="A50" s="13"/>
      <c r="B50" s="14"/>
      <c r="C50" s="13"/>
      <c r="D50" s="15" t="s">
        <v>4</v>
      </c>
      <c r="E50" s="16">
        <f>SUBTOTAL(9,E49:E49)</f>
        <v>4248.18</v>
      </c>
      <c r="G50" s="17"/>
      <c r="I50" s="1"/>
    </row>
    <row r="51" spans="1:9" ht="15.95" customHeight="1" x14ac:dyDescent="0.2">
      <c r="A51" s="19" t="s">
        <v>7</v>
      </c>
      <c r="B51" s="14"/>
      <c r="C51" s="13"/>
      <c r="D51" s="15"/>
      <c r="G51" s="17"/>
      <c r="I51" s="1"/>
    </row>
    <row r="52" spans="1:9" ht="15.95" customHeight="1" x14ac:dyDescent="0.2">
      <c r="A52" s="14">
        <v>90100519</v>
      </c>
      <c r="B52" s="14">
        <v>590310</v>
      </c>
      <c r="C52" s="22"/>
      <c r="D52" s="7" t="s">
        <v>14</v>
      </c>
      <c r="E52" s="20">
        <v>4248.18</v>
      </c>
      <c r="F52" s="16">
        <f>E52+67528</f>
        <v>71776.179999999993</v>
      </c>
      <c r="G52" s="17"/>
      <c r="I52" s="1"/>
    </row>
    <row r="53" spans="1:9" ht="15.95" customHeight="1" x14ac:dyDescent="0.2">
      <c r="C53" s="22"/>
      <c r="D53" s="15" t="s">
        <v>4</v>
      </c>
      <c r="E53" s="16">
        <f>SUBTOTAL(9,E52:E52)</f>
        <v>4248.18</v>
      </c>
      <c r="I53" s="1"/>
    </row>
    <row r="54" spans="1:9" ht="15.75" customHeight="1" x14ac:dyDescent="0.2">
      <c r="A54" s="13" t="s">
        <v>60</v>
      </c>
      <c r="B54" s="14"/>
      <c r="C54" s="13"/>
      <c r="D54" s="15"/>
      <c r="F54" s="7"/>
      <c r="G54" s="34"/>
    </row>
    <row r="55" spans="1:9" ht="15.75" customHeight="1" x14ac:dyDescent="0.2">
      <c r="A55" s="18" t="s">
        <v>61</v>
      </c>
      <c r="B55" s="14"/>
      <c r="C55" s="13"/>
      <c r="D55" s="15"/>
      <c r="F55" s="7"/>
      <c r="G55" s="34"/>
    </row>
    <row r="56" spans="1:9" ht="15.75" customHeight="1" x14ac:dyDescent="0.2">
      <c r="A56" s="19" t="s">
        <v>6</v>
      </c>
      <c r="G56" s="34"/>
    </row>
    <row r="57" spans="1:9" ht="15.75" customHeight="1" x14ac:dyDescent="0.2">
      <c r="A57" s="14">
        <v>1303412</v>
      </c>
      <c r="B57" s="14">
        <v>341909</v>
      </c>
      <c r="C57" s="22"/>
      <c r="D57" s="7" t="s">
        <v>62</v>
      </c>
      <c r="E57" s="20">
        <v>2662</v>
      </c>
      <c r="F57" s="16">
        <f>1252470+E57</f>
        <v>1255132</v>
      </c>
      <c r="G57" s="34"/>
    </row>
    <row r="58" spans="1:9" ht="15.75" customHeight="1" x14ac:dyDescent="0.2">
      <c r="C58" s="22"/>
      <c r="D58" s="15" t="s">
        <v>4</v>
      </c>
      <c r="E58" s="16">
        <f>SUBTOTAL(9,E57:E57)</f>
        <v>2662</v>
      </c>
      <c r="G58" s="34"/>
    </row>
    <row r="59" spans="1:9" ht="15.75" customHeight="1" x14ac:dyDescent="0.2">
      <c r="A59" s="19" t="s">
        <v>7</v>
      </c>
      <c r="C59" s="22"/>
      <c r="G59" s="34"/>
    </row>
    <row r="60" spans="1:9" ht="15.75" customHeight="1" x14ac:dyDescent="0.2">
      <c r="A60" s="14">
        <v>13000516</v>
      </c>
      <c r="B60" s="4" t="s">
        <v>68</v>
      </c>
      <c r="C60" s="22"/>
      <c r="D60" s="7" t="s">
        <v>69</v>
      </c>
      <c r="E60" s="16">
        <v>2662</v>
      </c>
      <c r="F60" s="16">
        <f>499829+E60</f>
        <v>502491</v>
      </c>
      <c r="G60" s="34"/>
    </row>
    <row r="61" spans="1:9" ht="15.75" customHeight="1" x14ac:dyDescent="0.2">
      <c r="A61" s="23"/>
      <c r="B61" s="14"/>
      <c r="C61" s="13"/>
      <c r="D61" s="15" t="s">
        <v>4</v>
      </c>
      <c r="E61" s="44">
        <f>SUBTOTAL(9,E60:E60)</f>
        <v>2662</v>
      </c>
      <c r="F61" s="7"/>
      <c r="G61" s="34"/>
    </row>
    <row r="62" spans="1:9" ht="15.75" hidden="1" customHeight="1" x14ac:dyDescent="0.2">
      <c r="A62" s="13" t="s">
        <v>172</v>
      </c>
      <c r="B62" s="14"/>
      <c r="C62" s="13"/>
      <c r="D62" s="15"/>
      <c r="F62" s="7"/>
      <c r="G62" s="34"/>
    </row>
    <row r="63" spans="1:9" ht="15.75" hidden="1" customHeight="1" x14ac:dyDescent="0.2">
      <c r="A63" s="19" t="s">
        <v>6</v>
      </c>
      <c r="G63" s="34"/>
    </row>
    <row r="64" spans="1:9" ht="15.75" hidden="1" customHeight="1" x14ac:dyDescent="0.2">
      <c r="A64" s="14"/>
      <c r="B64" s="14"/>
      <c r="C64" s="22"/>
      <c r="E64" s="20"/>
      <c r="G64" s="21"/>
    </row>
    <row r="65" spans="1:9" ht="15.75" hidden="1" customHeight="1" x14ac:dyDescent="0.2">
      <c r="C65" s="22"/>
      <c r="D65" s="15" t="s">
        <v>4</v>
      </c>
      <c r="E65" s="16">
        <f>SUBTOTAL(9,E64:E64)</f>
        <v>0</v>
      </c>
      <c r="G65" s="34"/>
    </row>
    <row r="66" spans="1:9" ht="15.75" hidden="1" customHeight="1" x14ac:dyDescent="0.2">
      <c r="A66" s="19" t="s">
        <v>7</v>
      </c>
      <c r="C66" s="22"/>
      <c r="G66" s="34"/>
    </row>
    <row r="67" spans="1:9" ht="15.75" hidden="1" customHeight="1" x14ac:dyDescent="0.2">
      <c r="A67" s="39"/>
      <c r="B67" s="2"/>
      <c r="C67" s="36"/>
      <c r="D67" s="37"/>
      <c r="E67" s="16">
        <v>0</v>
      </c>
      <c r="F67" s="38"/>
      <c r="G67" s="34"/>
    </row>
    <row r="68" spans="1:9" ht="15.75" hidden="1" customHeight="1" x14ac:dyDescent="0.2">
      <c r="A68" s="14">
        <v>58000541</v>
      </c>
      <c r="C68" s="22"/>
      <c r="E68" s="20">
        <v>0</v>
      </c>
      <c r="G68" s="34"/>
    </row>
    <row r="69" spans="1:9" ht="15.75" hidden="1" customHeight="1" x14ac:dyDescent="0.2">
      <c r="A69" s="23"/>
      <c r="B69" s="14"/>
      <c r="C69" s="13"/>
      <c r="D69" s="15"/>
      <c r="F69" s="7"/>
      <c r="G69" s="34"/>
    </row>
    <row r="70" spans="1:9" ht="15.75" customHeight="1" x14ac:dyDescent="0.2">
      <c r="A70" s="13" t="s">
        <v>48</v>
      </c>
      <c r="B70" s="14"/>
      <c r="C70" s="13"/>
      <c r="D70" s="15"/>
      <c r="F70" s="7"/>
      <c r="G70" s="34"/>
    </row>
    <row r="71" spans="1:9" ht="16.5" customHeight="1" x14ac:dyDescent="0.2">
      <c r="A71" s="25" t="s">
        <v>136</v>
      </c>
      <c r="B71" s="14"/>
      <c r="C71" s="13"/>
      <c r="D71" s="15"/>
      <c r="F71" s="7"/>
      <c r="G71" s="17"/>
      <c r="I71" s="3"/>
    </row>
    <row r="72" spans="1:9" ht="15.95" customHeight="1" x14ac:dyDescent="0.2">
      <c r="A72" s="19" t="s">
        <v>6</v>
      </c>
      <c r="B72" s="14"/>
      <c r="C72" s="13"/>
      <c r="D72" s="15"/>
      <c r="F72" s="7"/>
      <c r="G72" s="17"/>
      <c r="I72" s="3"/>
    </row>
    <row r="73" spans="1:9" ht="15.95" customHeight="1" x14ac:dyDescent="0.2">
      <c r="A73" s="4" t="s">
        <v>137</v>
      </c>
      <c r="B73" s="4" t="s">
        <v>138</v>
      </c>
      <c r="D73" s="7" t="s">
        <v>139</v>
      </c>
      <c r="E73" s="20">
        <v>122964</v>
      </c>
      <c r="F73" s="16">
        <v>122964</v>
      </c>
      <c r="I73" s="3"/>
    </row>
    <row r="74" spans="1:9" ht="15.95" customHeight="1" x14ac:dyDescent="0.2">
      <c r="D74" s="15" t="s">
        <v>4</v>
      </c>
      <c r="E74" s="16">
        <f>SUBTOTAL(9,E73:E73)</f>
        <v>122964</v>
      </c>
      <c r="I74" s="3"/>
    </row>
    <row r="75" spans="1:9" ht="15.95" customHeight="1" x14ac:dyDescent="0.2">
      <c r="A75" s="19" t="s">
        <v>7</v>
      </c>
      <c r="C75" s="22"/>
      <c r="G75" s="17"/>
      <c r="I75" s="3"/>
    </row>
    <row r="76" spans="1:9" ht="15.95" customHeight="1" x14ac:dyDescent="0.2">
      <c r="A76" s="14">
        <v>90100581</v>
      </c>
      <c r="B76" s="14">
        <v>591300</v>
      </c>
      <c r="D76" s="7" t="s">
        <v>140</v>
      </c>
      <c r="E76" s="20">
        <v>122964</v>
      </c>
      <c r="F76" s="16">
        <v>122964</v>
      </c>
      <c r="I76" s="3"/>
    </row>
    <row r="77" spans="1:9" ht="15" customHeight="1" x14ac:dyDescent="0.2">
      <c r="A77" s="23"/>
      <c r="B77" s="14"/>
      <c r="C77" s="13"/>
      <c r="D77" s="15" t="s">
        <v>4</v>
      </c>
      <c r="E77" s="16">
        <f>SUBTOTAL(9,E76:E76)</f>
        <v>122964</v>
      </c>
      <c r="F77" s="7"/>
      <c r="I77" s="3"/>
    </row>
    <row r="78" spans="1:9" ht="9.75" customHeight="1" x14ac:dyDescent="0.2">
      <c r="A78" s="14"/>
      <c r="C78" s="7"/>
      <c r="D78" s="31"/>
      <c r="E78" s="45"/>
      <c r="G78" s="26"/>
    </row>
    <row r="79" spans="1:9" ht="15.95" customHeight="1" thickBot="1" x14ac:dyDescent="0.25">
      <c r="A79" s="13"/>
      <c r="D79" s="31" t="s">
        <v>34</v>
      </c>
      <c r="E79" s="46">
        <f>E73+E57+E49+E24+E16+E8</f>
        <v>202817.18</v>
      </c>
      <c r="F79" s="33"/>
      <c r="G79" s="26"/>
    </row>
    <row r="80" spans="1:9" ht="15.95" customHeight="1" thickTop="1" x14ac:dyDescent="0.2">
      <c r="A80" s="13"/>
      <c r="D80" s="31"/>
      <c r="E80" s="45"/>
      <c r="F80" s="33"/>
      <c r="I80" s="1"/>
    </row>
    <row r="81" spans="1:9" ht="15.95" customHeight="1" x14ac:dyDescent="0.2">
      <c r="A81" s="24" t="s">
        <v>208</v>
      </c>
      <c r="B81" s="24"/>
      <c r="C81" s="24"/>
      <c r="D81" s="24"/>
      <c r="E81" s="10" t="s">
        <v>0</v>
      </c>
      <c r="F81" s="10" t="s">
        <v>1</v>
      </c>
      <c r="I81" s="1"/>
    </row>
    <row r="82" spans="1:9" ht="15.95" customHeight="1" x14ac:dyDescent="0.2">
      <c r="A82" s="27"/>
      <c r="B82" s="27"/>
      <c r="C82" s="27"/>
      <c r="D82" s="27"/>
      <c r="E82" s="12" t="s">
        <v>2</v>
      </c>
      <c r="F82" s="12" t="s">
        <v>3</v>
      </c>
      <c r="I82" s="1"/>
    </row>
    <row r="83" spans="1:9" ht="15.95" customHeight="1" x14ac:dyDescent="0.2">
      <c r="A83" s="19" t="s">
        <v>6</v>
      </c>
      <c r="B83" s="14"/>
      <c r="C83" s="13"/>
      <c r="D83" s="15"/>
      <c r="I83" s="1"/>
    </row>
    <row r="84" spans="1:9" ht="15.95" customHeight="1" x14ac:dyDescent="0.2">
      <c r="A84" s="14" t="s">
        <v>115</v>
      </c>
      <c r="B84" s="14">
        <v>361111</v>
      </c>
      <c r="D84" s="7" t="s">
        <v>184</v>
      </c>
      <c r="E84" s="20">
        <v>25402.57</v>
      </c>
      <c r="F84" s="16">
        <f>E84</f>
        <v>25402.57</v>
      </c>
      <c r="G84" s="17"/>
      <c r="I84" s="1"/>
    </row>
    <row r="85" spans="1:9" ht="15.95" customHeight="1" x14ac:dyDescent="0.2">
      <c r="A85" s="13"/>
      <c r="B85" s="14"/>
      <c r="C85" s="13"/>
      <c r="D85" s="15" t="s">
        <v>4</v>
      </c>
      <c r="E85" s="16">
        <f>SUBTOTAL(9,E84:E84)</f>
        <v>25402.57</v>
      </c>
      <c r="I85" s="1"/>
    </row>
    <row r="86" spans="1:9" ht="15.95" customHeight="1" x14ac:dyDescent="0.2">
      <c r="A86" s="19" t="s">
        <v>7</v>
      </c>
      <c r="B86" s="14"/>
      <c r="C86" s="13"/>
      <c r="D86" s="15"/>
      <c r="I86" s="1"/>
    </row>
    <row r="87" spans="1:9" ht="15.95" customHeight="1" x14ac:dyDescent="0.2">
      <c r="A87" s="14" t="s">
        <v>116</v>
      </c>
      <c r="B87" s="14">
        <v>591050</v>
      </c>
      <c r="D87" s="7" t="s">
        <v>117</v>
      </c>
      <c r="E87" s="16">
        <v>1270.1300000000001</v>
      </c>
      <c r="F87" s="16">
        <f>9969+E87</f>
        <v>11239.130000000001</v>
      </c>
      <c r="G87" s="17"/>
      <c r="I87" s="1"/>
    </row>
    <row r="88" spans="1:9" ht="15.95" customHeight="1" x14ac:dyDescent="0.2">
      <c r="A88" s="14">
        <v>57800554</v>
      </c>
      <c r="B88" s="14">
        <v>534210</v>
      </c>
      <c r="D88" s="7" t="s">
        <v>118</v>
      </c>
      <c r="E88" s="20">
        <v>24132.44</v>
      </c>
      <c r="F88" s="16">
        <f>967893+E88</f>
        <v>992025.44</v>
      </c>
      <c r="G88" s="17"/>
      <c r="I88" s="1"/>
    </row>
    <row r="89" spans="1:9" ht="15.95" customHeight="1" x14ac:dyDescent="0.2">
      <c r="A89" s="7"/>
      <c r="C89" s="7"/>
      <c r="D89" s="15" t="s">
        <v>4</v>
      </c>
      <c r="E89" s="16">
        <f>SUBTOTAL(9,E87:E88)</f>
        <v>25402.57</v>
      </c>
      <c r="I89" s="1"/>
    </row>
    <row r="90" spans="1:9" ht="15.95" customHeight="1" x14ac:dyDescent="0.2">
      <c r="A90" s="19" t="s">
        <v>6</v>
      </c>
      <c r="B90" s="14"/>
      <c r="C90" s="13"/>
      <c r="D90" s="15"/>
      <c r="I90" s="1"/>
    </row>
    <row r="91" spans="1:9" ht="15.95" customHeight="1" x14ac:dyDescent="0.2">
      <c r="A91" s="14" t="s">
        <v>119</v>
      </c>
      <c r="B91" s="14">
        <v>334503</v>
      </c>
      <c r="D91" s="7" t="s">
        <v>120</v>
      </c>
      <c r="E91" s="20">
        <v>59561.08</v>
      </c>
      <c r="F91" s="16">
        <f>E91</f>
        <v>59561.08</v>
      </c>
      <c r="G91" s="17"/>
      <c r="I91" s="1"/>
    </row>
    <row r="92" spans="1:9" ht="15.95" customHeight="1" x14ac:dyDescent="0.2">
      <c r="A92" s="13"/>
      <c r="B92" s="14"/>
      <c r="C92" s="13"/>
      <c r="D92" s="15" t="s">
        <v>4</v>
      </c>
      <c r="E92" s="16">
        <f>SUBTOTAL(9,E91:E91)</f>
        <v>59561.08</v>
      </c>
      <c r="I92" s="1"/>
    </row>
    <row r="93" spans="1:9" ht="15.95" customHeight="1" x14ac:dyDescent="0.2">
      <c r="A93" s="19" t="s">
        <v>7</v>
      </c>
      <c r="B93" s="14"/>
      <c r="C93" s="13"/>
      <c r="D93" s="15"/>
      <c r="I93" s="1"/>
    </row>
    <row r="94" spans="1:9" ht="15.95" customHeight="1" x14ac:dyDescent="0.2">
      <c r="A94" s="14" t="s">
        <v>116</v>
      </c>
      <c r="B94" s="14">
        <v>591050</v>
      </c>
      <c r="D94" s="7" t="s">
        <v>117</v>
      </c>
      <c r="E94" s="16">
        <v>2978.05</v>
      </c>
      <c r="F94" s="16">
        <f>F87+E94</f>
        <v>14217.18</v>
      </c>
      <c r="G94" s="17"/>
      <c r="I94" s="1"/>
    </row>
    <row r="95" spans="1:9" ht="15.95" customHeight="1" x14ac:dyDescent="0.2">
      <c r="A95" s="14">
        <v>57800554</v>
      </c>
      <c r="B95" s="14">
        <v>534210</v>
      </c>
      <c r="D95" s="7" t="s">
        <v>118</v>
      </c>
      <c r="E95" s="20">
        <v>56583.03</v>
      </c>
      <c r="F95" s="16">
        <f>F88+E95</f>
        <v>1048608.47</v>
      </c>
      <c r="G95" s="17"/>
      <c r="I95" s="1"/>
    </row>
    <row r="96" spans="1:9" ht="15.95" customHeight="1" x14ac:dyDescent="0.2">
      <c r="A96" s="7"/>
      <c r="C96" s="7"/>
      <c r="D96" s="15" t="s">
        <v>4</v>
      </c>
      <c r="E96" s="16">
        <f>SUBTOTAL(9,E94:E95)</f>
        <v>59561.08</v>
      </c>
      <c r="I96" s="1"/>
    </row>
    <row r="97" spans="1:14" ht="15.95" customHeight="1" x14ac:dyDescent="0.2">
      <c r="A97" s="7"/>
      <c r="C97" s="7"/>
      <c r="D97" s="15"/>
      <c r="I97" s="1"/>
    </row>
    <row r="98" spans="1:14" ht="15.95" customHeight="1" thickBot="1" x14ac:dyDescent="0.25">
      <c r="A98" s="7"/>
      <c r="C98" s="7"/>
      <c r="D98" s="31" t="s">
        <v>121</v>
      </c>
      <c r="E98" s="46">
        <f>E96+E89</f>
        <v>84963.65</v>
      </c>
      <c r="I98" s="1"/>
    </row>
    <row r="99" spans="1:14" ht="15.95" customHeight="1" thickTop="1" x14ac:dyDescent="0.2">
      <c r="A99" s="24" t="s">
        <v>209</v>
      </c>
      <c r="B99" s="24"/>
      <c r="C99" s="24"/>
      <c r="D99" s="24"/>
      <c r="E99" s="10" t="s">
        <v>0</v>
      </c>
      <c r="F99" s="10" t="s">
        <v>1</v>
      </c>
      <c r="G99" s="26"/>
    </row>
    <row r="100" spans="1:14" ht="15.95" customHeight="1" x14ac:dyDescent="0.2">
      <c r="A100" s="27"/>
      <c r="B100" s="27"/>
      <c r="C100" s="27"/>
      <c r="D100" s="27"/>
      <c r="E100" s="12" t="s">
        <v>2</v>
      </c>
      <c r="F100" s="12" t="s">
        <v>3</v>
      </c>
      <c r="G100" s="26"/>
    </row>
    <row r="101" spans="1:14" ht="10.5" customHeight="1" x14ac:dyDescent="0.2">
      <c r="A101" s="28"/>
      <c r="B101" s="28"/>
      <c r="C101" s="28"/>
      <c r="D101" s="28"/>
      <c r="E101" s="29"/>
      <c r="F101" s="29"/>
      <c r="G101" s="26"/>
    </row>
    <row r="102" spans="1:14" ht="13.15" customHeight="1" x14ac:dyDescent="0.2">
      <c r="A102" s="19" t="s">
        <v>6</v>
      </c>
      <c r="G102" s="34"/>
    </row>
    <row r="103" spans="1:14" ht="15.75" customHeight="1" x14ac:dyDescent="0.2">
      <c r="A103" s="14">
        <v>3753472</v>
      </c>
      <c r="B103" s="14">
        <v>347241</v>
      </c>
      <c r="D103" s="7" t="s">
        <v>78</v>
      </c>
      <c r="E103" s="16">
        <v>45000</v>
      </c>
      <c r="F103" s="16">
        <f>730000+E103</f>
        <v>775000</v>
      </c>
      <c r="G103" s="34"/>
      <c r="J103" s="54"/>
      <c r="K103" s="54"/>
      <c r="L103" s="54"/>
      <c r="M103" s="54"/>
      <c r="N103" s="54"/>
    </row>
    <row r="104" spans="1:14" ht="15.75" customHeight="1" x14ac:dyDescent="0.2">
      <c r="A104" s="14">
        <v>3753472</v>
      </c>
      <c r="B104" s="14">
        <v>347244</v>
      </c>
      <c r="D104" s="7" t="s">
        <v>79</v>
      </c>
      <c r="E104" s="16">
        <v>25000</v>
      </c>
      <c r="F104" s="16">
        <f>160000+E104</f>
        <v>185000</v>
      </c>
      <c r="G104" s="34"/>
      <c r="J104" s="54"/>
      <c r="K104" s="54"/>
      <c r="L104" s="54"/>
      <c r="M104" s="54"/>
      <c r="N104" s="54"/>
    </row>
    <row r="105" spans="1:14" ht="15.75" customHeight="1" x14ac:dyDescent="0.2">
      <c r="A105" s="14">
        <v>3753472</v>
      </c>
      <c r="B105" s="14">
        <v>347265</v>
      </c>
      <c r="D105" s="7" t="s">
        <v>82</v>
      </c>
      <c r="E105" s="16">
        <v>40000</v>
      </c>
      <c r="F105" s="16">
        <f>645000+E105</f>
        <v>685000</v>
      </c>
      <c r="G105" s="34"/>
      <c r="J105" s="54"/>
      <c r="K105" s="54"/>
      <c r="L105" s="54"/>
      <c r="M105" s="54"/>
      <c r="N105" s="54"/>
    </row>
    <row r="106" spans="1:14" ht="15.75" customHeight="1" x14ac:dyDescent="0.2">
      <c r="A106" s="14">
        <v>3763472</v>
      </c>
      <c r="B106" s="14">
        <v>347230</v>
      </c>
      <c r="D106" s="7" t="s">
        <v>80</v>
      </c>
      <c r="E106" s="16">
        <v>10000</v>
      </c>
      <c r="F106" s="16">
        <f>30000+E106</f>
        <v>40000</v>
      </c>
      <c r="G106" s="34"/>
      <c r="J106" s="54"/>
      <c r="K106" s="54"/>
      <c r="L106" s="54"/>
      <c r="M106" s="54"/>
      <c r="N106" s="54"/>
    </row>
    <row r="107" spans="1:14" ht="15.75" customHeight="1" x14ac:dyDescent="0.2">
      <c r="A107" s="14">
        <v>3763472</v>
      </c>
      <c r="B107" s="14">
        <v>347232</v>
      </c>
      <c r="D107" s="7" t="s">
        <v>81</v>
      </c>
      <c r="E107" s="16">
        <v>20000</v>
      </c>
      <c r="F107" s="16">
        <f>70000+E107</f>
        <v>90000</v>
      </c>
      <c r="G107" s="34"/>
      <c r="J107" s="54"/>
      <c r="K107" s="54"/>
      <c r="L107" s="54"/>
      <c r="M107" s="54"/>
      <c r="N107" s="54"/>
    </row>
    <row r="108" spans="1:14" ht="15.75" customHeight="1" x14ac:dyDescent="0.2">
      <c r="A108" s="14">
        <v>3773472</v>
      </c>
      <c r="B108" s="14">
        <v>347241</v>
      </c>
      <c r="D108" s="7" t="s">
        <v>78</v>
      </c>
      <c r="E108" s="16">
        <v>60000</v>
      </c>
      <c r="F108" s="16">
        <f>600000+E108</f>
        <v>660000</v>
      </c>
      <c r="G108" s="34"/>
    </row>
    <row r="109" spans="1:14" ht="15.75" customHeight="1" x14ac:dyDescent="0.2">
      <c r="A109" s="14">
        <v>3773472</v>
      </c>
      <c r="B109" s="14">
        <v>347265</v>
      </c>
      <c r="D109" s="7" t="s">
        <v>82</v>
      </c>
      <c r="E109" s="16">
        <v>18000</v>
      </c>
      <c r="F109" s="16">
        <f>550000+E109</f>
        <v>568000</v>
      </c>
      <c r="G109" s="34"/>
    </row>
    <row r="110" spans="1:14" s="37" customFormat="1" ht="15.75" customHeight="1" x14ac:dyDescent="0.2">
      <c r="A110" s="14">
        <v>9173611</v>
      </c>
      <c r="B110" s="14">
        <v>361100</v>
      </c>
      <c r="C110" s="17"/>
      <c r="D110" s="7" t="s">
        <v>174</v>
      </c>
      <c r="E110" s="16">
        <v>34563</v>
      </c>
      <c r="F110" s="16">
        <f>E110</f>
        <v>34563</v>
      </c>
      <c r="G110" s="40"/>
    </row>
    <row r="111" spans="1:14" ht="13.15" customHeight="1" x14ac:dyDescent="0.2">
      <c r="A111" s="18"/>
      <c r="B111" s="28"/>
      <c r="C111" s="28"/>
      <c r="D111" s="15" t="s">
        <v>4</v>
      </c>
      <c r="E111" s="44">
        <f>SUBTOTAL(9,E103:E110)</f>
        <v>252563</v>
      </c>
      <c r="F111" s="29"/>
      <c r="G111" s="26"/>
    </row>
    <row r="112" spans="1:14" ht="13.9" customHeight="1" x14ac:dyDescent="0.2">
      <c r="A112" s="19" t="s">
        <v>7</v>
      </c>
      <c r="C112" s="22"/>
      <c r="G112" s="34"/>
    </row>
    <row r="113" spans="1:10" ht="15.75" customHeight="1" x14ac:dyDescent="0.2">
      <c r="A113" s="14">
        <v>37500572</v>
      </c>
      <c r="B113" s="14">
        <v>534040</v>
      </c>
      <c r="D113" s="7" t="s">
        <v>57</v>
      </c>
      <c r="E113" s="16">
        <v>48000</v>
      </c>
      <c r="F113" s="16">
        <f>267000+E113</f>
        <v>315000</v>
      </c>
      <c r="G113" s="34"/>
    </row>
    <row r="114" spans="1:10" ht="15.75" customHeight="1" x14ac:dyDescent="0.2">
      <c r="A114" s="14">
        <v>37500572</v>
      </c>
      <c r="B114" s="14">
        <v>546000</v>
      </c>
      <c r="D114" s="7" t="s">
        <v>58</v>
      </c>
      <c r="E114" s="16">
        <v>6000</v>
      </c>
      <c r="F114" s="16">
        <f>18000+E114</f>
        <v>24000</v>
      </c>
      <c r="G114" s="34"/>
    </row>
    <row r="115" spans="1:10" ht="15.75" customHeight="1" x14ac:dyDescent="0.2">
      <c r="A115" s="14">
        <v>37500572</v>
      </c>
      <c r="B115" s="14">
        <v>552190</v>
      </c>
      <c r="D115" s="7" t="s">
        <v>75</v>
      </c>
      <c r="E115" s="16">
        <v>8000</v>
      </c>
      <c r="F115" s="16">
        <f>50000+E115</f>
        <v>58000</v>
      </c>
      <c r="G115" s="34"/>
    </row>
    <row r="116" spans="1:10" ht="15.75" customHeight="1" x14ac:dyDescent="0.2">
      <c r="A116" s="14">
        <v>37500572</v>
      </c>
      <c r="B116" s="14">
        <v>552220</v>
      </c>
      <c r="D116" s="7" t="s">
        <v>59</v>
      </c>
      <c r="E116" s="16">
        <v>8000</v>
      </c>
      <c r="F116" s="16">
        <f>21000+E116</f>
        <v>29000</v>
      </c>
      <c r="G116" s="34"/>
    </row>
    <row r="117" spans="1:10" ht="15.75" customHeight="1" x14ac:dyDescent="0.2">
      <c r="A117" s="14">
        <v>37500572</v>
      </c>
      <c r="B117" s="14">
        <v>546000</v>
      </c>
      <c r="D117" s="7" t="s">
        <v>58</v>
      </c>
      <c r="E117" s="16">
        <v>20000</v>
      </c>
      <c r="F117" s="16">
        <f>18000+E117</f>
        <v>38000</v>
      </c>
      <c r="G117" s="34"/>
    </row>
    <row r="118" spans="1:10" ht="15.75" customHeight="1" x14ac:dyDescent="0.2">
      <c r="A118" s="14">
        <v>37600572</v>
      </c>
      <c r="B118" s="14">
        <v>534040</v>
      </c>
      <c r="D118" s="7" t="s">
        <v>57</v>
      </c>
      <c r="E118" s="16">
        <v>40000</v>
      </c>
      <c r="F118" s="16">
        <f>35000+E118</f>
        <v>75000</v>
      </c>
      <c r="G118" s="34"/>
    </row>
    <row r="119" spans="1:10" ht="15.75" customHeight="1" x14ac:dyDescent="0.2">
      <c r="A119" s="14">
        <v>37600572</v>
      </c>
      <c r="B119" s="14">
        <v>552260</v>
      </c>
      <c r="D119" s="7" t="s">
        <v>73</v>
      </c>
      <c r="E119" s="16">
        <v>8000</v>
      </c>
      <c r="F119" s="16">
        <f>20000+E119</f>
        <v>28000</v>
      </c>
      <c r="G119" s="34"/>
    </row>
    <row r="120" spans="1:10" ht="15.75" customHeight="1" x14ac:dyDescent="0.2">
      <c r="A120" s="14">
        <v>37600572</v>
      </c>
      <c r="B120" s="14">
        <v>552280</v>
      </c>
      <c r="D120" s="7" t="s">
        <v>74</v>
      </c>
      <c r="E120" s="16">
        <v>10000</v>
      </c>
      <c r="F120" s="16">
        <f>40000+E120</f>
        <v>50000</v>
      </c>
      <c r="G120" s="34"/>
    </row>
    <row r="121" spans="1:10" ht="15.75" customHeight="1" x14ac:dyDescent="0.2">
      <c r="A121" s="14">
        <v>37700572</v>
      </c>
      <c r="B121" s="14">
        <v>534040</v>
      </c>
      <c r="D121" s="7" t="s">
        <v>57</v>
      </c>
      <c r="E121" s="16">
        <v>65000</v>
      </c>
      <c r="F121" s="16">
        <f>250000+E121</f>
        <v>315000</v>
      </c>
      <c r="G121" s="34"/>
    </row>
    <row r="122" spans="1:10" ht="15.75" customHeight="1" x14ac:dyDescent="0.2">
      <c r="A122" s="14">
        <v>37700572</v>
      </c>
      <c r="B122" s="14">
        <v>546000</v>
      </c>
      <c r="D122" s="7" t="s">
        <v>58</v>
      </c>
      <c r="E122" s="16">
        <v>6000</v>
      </c>
      <c r="F122" s="16">
        <f>3000+E122</f>
        <v>9000</v>
      </c>
      <c r="G122" s="34"/>
    </row>
    <row r="123" spans="1:10" ht="15.75" customHeight="1" x14ac:dyDescent="0.2">
      <c r="A123" s="14">
        <v>37700572</v>
      </c>
      <c r="B123" s="14">
        <v>552190</v>
      </c>
      <c r="D123" s="7" t="s">
        <v>75</v>
      </c>
      <c r="E123" s="16">
        <v>4000</v>
      </c>
      <c r="F123" s="16">
        <f>28000+E123</f>
        <v>32000</v>
      </c>
      <c r="G123" s="34"/>
      <c r="J123" s="34"/>
    </row>
    <row r="124" spans="1:10" ht="15.75" customHeight="1" x14ac:dyDescent="0.2">
      <c r="A124" s="14">
        <v>37700572</v>
      </c>
      <c r="B124" s="14">
        <v>552220</v>
      </c>
      <c r="D124" s="7" t="s">
        <v>59</v>
      </c>
      <c r="E124" s="16">
        <f>5000+14563</f>
        <v>19563</v>
      </c>
      <c r="F124" s="16">
        <f>12000+E124</f>
        <v>31563</v>
      </c>
      <c r="G124" s="34"/>
    </row>
    <row r="125" spans="1:10" ht="15.75" customHeight="1" x14ac:dyDescent="0.2">
      <c r="A125" s="14">
        <v>37800572</v>
      </c>
      <c r="B125" s="14">
        <v>552280</v>
      </c>
      <c r="D125" s="7" t="s">
        <v>74</v>
      </c>
      <c r="E125" s="16">
        <v>10000</v>
      </c>
      <c r="F125" s="16">
        <f>30000+E125</f>
        <v>40000</v>
      </c>
      <c r="G125" s="34"/>
    </row>
    <row r="126" spans="1:10" ht="15.75" customHeight="1" x14ac:dyDescent="0.2">
      <c r="A126" s="23"/>
      <c r="B126" s="14"/>
      <c r="C126" s="13"/>
      <c r="D126" s="15" t="s">
        <v>4</v>
      </c>
      <c r="E126" s="44">
        <f>SUBTOTAL(9,E113:E125)</f>
        <v>252563</v>
      </c>
      <c r="F126" s="7"/>
      <c r="G126" s="34"/>
    </row>
    <row r="127" spans="1:10" ht="15.95" customHeight="1" thickBot="1" x14ac:dyDescent="0.25">
      <c r="A127" s="13"/>
      <c r="D127" s="31" t="s">
        <v>207</v>
      </c>
      <c r="E127" s="46">
        <f>E126</f>
        <v>252563</v>
      </c>
      <c r="F127" s="33"/>
      <c r="G127" s="26"/>
    </row>
    <row r="128" spans="1:10" ht="15.95" customHeight="1" thickTop="1" x14ac:dyDescent="0.2">
      <c r="A128" s="13"/>
      <c r="D128" s="31"/>
      <c r="E128" s="47"/>
      <c r="F128" s="33"/>
      <c r="G128" s="26"/>
    </row>
    <row r="129" spans="1:7" ht="15.95" customHeight="1" x14ac:dyDescent="0.2">
      <c r="A129" s="24" t="s">
        <v>210</v>
      </c>
      <c r="B129" s="24"/>
      <c r="C129" s="24"/>
      <c r="D129" s="24"/>
      <c r="E129" s="10" t="s">
        <v>0</v>
      </c>
      <c r="F129" s="10" t="s">
        <v>1</v>
      </c>
      <c r="G129" s="26"/>
    </row>
    <row r="130" spans="1:7" ht="15.95" customHeight="1" x14ac:dyDescent="0.2">
      <c r="A130" s="27"/>
      <c r="B130" s="27"/>
      <c r="C130" s="27"/>
      <c r="D130" s="27"/>
      <c r="E130" s="12" t="s">
        <v>2</v>
      </c>
      <c r="F130" s="12" t="s">
        <v>3</v>
      </c>
      <c r="G130" s="26"/>
    </row>
    <row r="131" spans="1:7" ht="15.95" customHeight="1" x14ac:dyDescent="0.2">
      <c r="A131" s="13"/>
      <c r="B131" s="28"/>
      <c r="C131" s="28"/>
      <c r="D131" s="28"/>
      <c r="E131" s="29"/>
      <c r="F131" s="29"/>
      <c r="G131" s="26"/>
    </row>
    <row r="132" spans="1:7" ht="15.95" customHeight="1" x14ac:dyDescent="0.2">
      <c r="A132" s="18" t="s">
        <v>32</v>
      </c>
      <c r="B132" s="28"/>
      <c r="C132" s="28"/>
      <c r="D132" s="28"/>
      <c r="E132" s="29"/>
      <c r="F132" s="29"/>
      <c r="G132" s="26"/>
    </row>
    <row r="133" spans="1:7" ht="15.75" customHeight="1" x14ac:dyDescent="0.2">
      <c r="A133" s="19" t="s">
        <v>7</v>
      </c>
      <c r="C133" s="22"/>
      <c r="G133" s="34"/>
    </row>
    <row r="134" spans="1:7" ht="15.75" customHeight="1" x14ac:dyDescent="0.2">
      <c r="A134" s="14">
        <v>94100536</v>
      </c>
      <c r="B134" s="14">
        <v>590310</v>
      </c>
      <c r="D134" s="7" t="s">
        <v>14</v>
      </c>
      <c r="E134" s="16">
        <v>-2662</v>
      </c>
      <c r="F134" s="16">
        <f>155872+E134</f>
        <v>153210</v>
      </c>
      <c r="G134" s="34"/>
    </row>
    <row r="135" spans="1:7" ht="15.75" customHeight="1" x14ac:dyDescent="0.2">
      <c r="A135" s="14">
        <v>94100536</v>
      </c>
      <c r="B135" s="14">
        <v>534110</v>
      </c>
      <c r="D135" s="7" t="s">
        <v>15</v>
      </c>
      <c r="E135" s="20">
        <v>2662</v>
      </c>
      <c r="F135" s="16">
        <f>991498+E135</f>
        <v>994160</v>
      </c>
      <c r="G135" s="34"/>
    </row>
    <row r="136" spans="1:7" ht="15.75" customHeight="1" x14ac:dyDescent="0.2">
      <c r="A136" s="23"/>
      <c r="B136" s="14"/>
      <c r="C136" s="13"/>
      <c r="D136" s="15" t="s">
        <v>4</v>
      </c>
      <c r="E136" s="16">
        <f>SUBTOTAL(9,E134:E135)</f>
        <v>0</v>
      </c>
      <c r="F136" s="7"/>
      <c r="G136" s="34"/>
    </row>
    <row r="137" spans="1:7" ht="15.95" customHeight="1" x14ac:dyDescent="0.2">
      <c r="A137" s="18" t="s">
        <v>203</v>
      </c>
      <c r="B137" s="28"/>
      <c r="C137" s="28"/>
      <c r="D137" s="28"/>
      <c r="E137" s="29"/>
      <c r="F137" s="29"/>
      <c r="G137" s="26"/>
    </row>
    <row r="138" spans="1:7" ht="15.95" customHeight="1" x14ac:dyDescent="0.2">
      <c r="A138" s="19" t="s">
        <v>6</v>
      </c>
      <c r="B138" s="28"/>
      <c r="C138" s="28"/>
      <c r="D138" s="28"/>
      <c r="E138" s="29"/>
      <c r="F138" s="29"/>
      <c r="G138" s="26"/>
    </row>
    <row r="139" spans="1:7" ht="15.75" customHeight="1" x14ac:dyDescent="0.2">
      <c r="A139" s="14">
        <v>9413692</v>
      </c>
      <c r="B139" s="14">
        <v>369301</v>
      </c>
      <c r="D139" s="7" t="s">
        <v>55</v>
      </c>
      <c r="E139" s="20">
        <v>5000</v>
      </c>
      <c r="F139" s="16">
        <f>E139</f>
        <v>5000</v>
      </c>
      <c r="G139" s="34"/>
    </row>
    <row r="140" spans="1:7" ht="15.95" customHeight="1" x14ac:dyDescent="0.2">
      <c r="A140" s="18"/>
      <c r="B140" s="28"/>
      <c r="C140" s="28"/>
      <c r="D140" s="15" t="s">
        <v>4</v>
      </c>
      <c r="E140" s="16">
        <f>SUBTOTAL(9,E139:E139)</f>
        <v>5000</v>
      </c>
      <c r="F140" s="29"/>
      <c r="G140" s="26"/>
    </row>
    <row r="141" spans="1:7" ht="15.75" customHeight="1" x14ac:dyDescent="0.2">
      <c r="A141" s="19" t="s">
        <v>7</v>
      </c>
      <c r="C141" s="22"/>
      <c r="G141" s="34"/>
    </row>
    <row r="142" spans="1:7" ht="15.75" customHeight="1" x14ac:dyDescent="0.2">
      <c r="A142" s="14">
        <v>62100533</v>
      </c>
      <c r="B142" s="14">
        <v>544000</v>
      </c>
      <c r="D142" s="7" t="s">
        <v>56</v>
      </c>
      <c r="E142" s="20">
        <v>5000</v>
      </c>
      <c r="F142" s="16">
        <f>46400+E142</f>
        <v>51400</v>
      </c>
      <c r="G142" s="34"/>
    </row>
    <row r="143" spans="1:7" ht="15.75" customHeight="1" x14ac:dyDescent="0.2">
      <c r="A143" s="23"/>
      <c r="B143" s="14"/>
      <c r="C143" s="13"/>
      <c r="D143" s="15" t="s">
        <v>4</v>
      </c>
      <c r="E143" s="16">
        <f>SUBTOTAL(9,E142:E142)</f>
        <v>5000</v>
      </c>
      <c r="F143" s="7"/>
      <c r="G143" s="34"/>
    </row>
    <row r="144" spans="1:7" ht="15.95" customHeight="1" x14ac:dyDescent="0.2">
      <c r="A144" s="14"/>
      <c r="C144" s="7"/>
      <c r="D144" s="31"/>
      <c r="E144" s="45"/>
      <c r="G144" s="26"/>
    </row>
    <row r="145" spans="1:9" ht="15.95" customHeight="1" thickBot="1" x14ac:dyDescent="0.25">
      <c r="A145" s="13"/>
      <c r="D145" s="31" t="s">
        <v>33</v>
      </c>
      <c r="E145" s="46">
        <f>E143+E136</f>
        <v>5000</v>
      </c>
      <c r="F145" s="33"/>
      <c r="G145" s="26"/>
    </row>
    <row r="146" spans="1:9" ht="15.95" customHeight="1" thickTop="1" x14ac:dyDescent="0.2">
      <c r="A146" s="7"/>
      <c r="C146" s="7"/>
      <c r="D146" s="26"/>
      <c r="E146" s="45"/>
      <c r="I146" s="1"/>
    </row>
    <row r="147" spans="1:9" ht="15.95" customHeight="1" x14ac:dyDescent="0.2">
      <c r="A147" s="24" t="s">
        <v>199</v>
      </c>
      <c r="B147" s="24"/>
      <c r="C147" s="24"/>
      <c r="D147" s="24"/>
      <c r="E147" s="10" t="s">
        <v>0</v>
      </c>
      <c r="F147" s="10" t="s">
        <v>1</v>
      </c>
    </row>
    <row r="148" spans="1:9" ht="15.95" customHeight="1" x14ac:dyDescent="0.2">
      <c r="A148" s="27"/>
      <c r="B148" s="27"/>
      <c r="C148" s="27"/>
      <c r="D148" s="27"/>
      <c r="E148" s="12" t="s">
        <v>2</v>
      </c>
      <c r="F148" s="12" t="s">
        <v>3</v>
      </c>
    </row>
    <row r="149" spans="1:9" ht="15.95" customHeight="1" x14ac:dyDescent="0.2">
      <c r="A149" s="28"/>
      <c r="B149" s="28"/>
      <c r="C149" s="28"/>
      <c r="D149" s="28"/>
      <c r="E149" s="29"/>
      <c r="F149" s="29"/>
    </row>
    <row r="150" spans="1:9" ht="15.95" customHeight="1" x14ac:dyDescent="0.2">
      <c r="A150" s="18" t="s">
        <v>176</v>
      </c>
      <c r="D150" s="31"/>
    </row>
    <row r="151" spans="1:9" ht="15.95" customHeight="1" x14ac:dyDescent="0.2">
      <c r="A151" s="19" t="s">
        <v>6</v>
      </c>
      <c r="D151" s="31"/>
    </row>
    <row r="152" spans="1:9" ht="15.95" customHeight="1" x14ac:dyDescent="0.2">
      <c r="A152" s="4" t="s">
        <v>175</v>
      </c>
      <c r="B152" s="4" t="s">
        <v>173</v>
      </c>
      <c r="C152" s="4"/>
      <c r="D152" s="32" t="s">
        <v>174</v>
      </c>
      <c r="E152" s="16">
        <v>37227</v>
      </c>
      <c r="F152" s="16">
        <f>E152</f>
        <v>37227</v>
      </c>
    </row>
    <row r="153" spans="1:9" ht="15.95" customHeight="1" x14ac:dyDescent="0.2">
      <c r="A153" s="4" t="s">
        <v>128</v>
      </c>
      <c r="B153" s="4" t="s">
        <v>129</v>
      </c>
      <c r="C153" s="4"/>
      <c r="D153" s="32" t="s">
        <v>130</v>
      </c>
      <c r="E153" s="16">
        <v>23841</v>
      </c>
      <c r="F153" s="16">
        <f>E153</f>
        <v>23841</v>
      </c>
    </row>
    <row r="154" spans="1:9" ht="15.95" customHeight="1" x14ac:dyDescent="0.2">
      <c r="A154" s="4" t="s">
        <v>131</v>
      </c>
      <c r="B154" s="4" t="s">
        <v>132</v>
      </c>
      <c r="C154" s="4"/>
      <c r="D154" s="32" t="s">
        <v>36</v>
      </c>
      <c r="E154" s="20">
        <v>53755</v>
      </c>
      <c r="F154" s="16">
        <f>E154</f>
        <v>53755</v>
      </c>
    </row>
    <row r="155" spans="1:9" ht="15.95" customHeight="1" x14ac:dyDescent="0.2">
      <c r="A155" s="30"/>
      <c r="D155" s="15" t="s">
        <v>4</v>
      </c>
      <c r="E155" s="16">
        <f>SUBTOTAL(9,E152:E154)</f>
        <v>114823</v>
      </c>
    </row>
    <row r="156" spans="1:9" ht="15.95" customHeight="1" x14ac:dyDescent="0.2">
      <c r="A156" s="19" t="s">
        <v>9</v>
      </c>
      <c r="D156" s="31"/>
    </row>
    <row r="157" spans="1:9" ht="15.95" customHeight="1" x14ac:dyDescent="0.2">
      <c r="A157" s="4" t="s">
        <v>133</v>
      </c>
      <c r="B157" s="4" t="s">
        <v>134</v>
      </c>
      <c r="C157" s="4"/>
      <c r="D157" s="32" t="s">
        <v>135</v>
      </c>
      <c r="E157" s="16">
        <v>114823</v>
      </c>
      <c r="F157" s="16">
        <f>3614788+E157</f>
        <v>3729611</v>
      </c>
    </row>
    <row r="158" spans="1:9" ht="15.95" customHeight="1" x14ac:dyDescent="0.2">
      <c r="A158" s="30"/>
      <c r="D158" s="15" t="s">
        <v>4</v>
      </c>
      <c r="E158" s="44">
        <f>SUBTOTAL(9,E157:E157)</f>
        <v>114823</v>
      </c>
    </row>
    <row r="159" spans="1:9" ht="10.9" customHeight="1" x14ac:dyDescent="0.2">
      <c r="A159" s="23"/>
      <c r="B159" s="28"/>
      <c r="C159" s="28"/>
      <c r="D159" s="28"/>
      <c r="E159" s="29"/>
      <c r="F159" s="29"/>
    </row>
    <row r="160" spans="1:9" ht="15.95" customHeight="1" x14ac:dyDescent="0.2">
      <c r="A160" s="30" t="s">
        <v>90</v>
      </c>
      <c r="D160" s="31"/>
    </row>
    <row r="161" spans="1:7" ht="12" customHeight="1" x14ac:dyDescent="0.2">
      <c r="A161" s="17"/>
      <c r="D161" s="31"/>
    </row>
    <row r="162" spans="1:7" ht="15.95" customHeight="1" x14ac:dyDescent="0.2">
      <c r="A162" s="19" t="s">
        <v>6</v>
      </c>
      <c r="D162" s="31"/>
      <c r="E162" s="45"/>
    </row>
    <row r="163" spans="1:7" ht="15.95" customHeight="1" x14ac:dyDescent="0.2">
      <c r="A163" s="4" t="s">
        <v>71</v>
      </c>
      <c r="B163" s="4" t="s">
        <v>123</v>
      </c>
      <c r="C163" s="4" t="s">
        <v>156</v>
      </c>
      <c r="D163" s="32" t="s">
        <v>155</v>
      </c>
      <c r="E163" s="20">
        <v>56000</v>
      </c>
      <c r="F163" s="16">
        <f>E163+40000</f>
        <v>96000</v>
      </c>
      <c r="G163" s="21"/>
    </row>
    <row r="164" spans="1:7" ht="15.95" customHeight="1" x14ac:dyDescent="0.2">
      <c r="A164" s="7"/>
      <c r="B164" s="7"/>
      <c r="C164" s="7"/>
      <c r="D164" s="15" t="s">
        <v>4</v>
      </c>
      <c r="E164" s="16">
        <f>SUBTOTAL(9,E163:E163)</f>
        <v>56000</v>
      </c>
    </row>
    <row r="165" spans="1:7" ht="15.95" customHeight="1" x14ac:dyDescent="0.2">
      <c r="A165" s="19" t="s">
        <v>9</v>
      </c>
    </row>
    <row r="166" spans="1:7" ht="15.95" customHeight="1" x14ac:dyDescent="0.2">
      <c r="A166" s="4" t="s">
        <v>157</v>
      </c>
      <c r="B166" s="4" t="s">
        <v>22</v>
      </c>
      <c r="C166" s="4" t="s">
        <v>156</v>
      </c>
      <c r="D166" s="32" t="s">
        <v>23</v>
      </c>
      <c r="E166" s="20">
        <v>56000</v>
      </c>
      <c r="F166" s="16">
        <f>E166+40000</f>
        <v>96000</v>
      </c>
      <c r="G166" s="21"/>
    </row>
    <row r="167" spans="1:7" ht="15.6" customHeight="1" x14ac:dyDescent="0.2">
      <c r="C167" s="4"/>
      <c r="D167" s="15" t="s">
        <v>4</v>
      </c>
      <c r="E167" s="16">
        <f>SUBTOTAL(9,E166)</f>
        <v>56000</v>
      </c>
    </row>
    <row r="168" spans="1:7" ht="15.95" customHeight="1" x14ac:dyDescent="0.2">
      <c r="A168" s="30" t="s">
        <v>191</v>
      </c>
      <c r="D168" s="31"/>
    </row>
    <row r="169" spans="1:7" ht="15.95" customHeight="1" x14ac:dyDescent="0.2">
      <c r="A169" s="17"/>
      <c r="D169" s="31"/>
    </row>
    <row r="170" spans="1:7" ht="15.95" customHeight="1" x14ac:dyDescent="0.2">
      <c r="A170" s="19" t="s">
        <v>6</v>
      </c>
      <c r="D170" s="31"/>
      <c r="E170" s="45"/>
    </row>
    <row r="171" spans="1:7" ht="15.95" customHeight="1" x14ac:dyDescent="0.2">
      <c r="A171" s="4" t="s">
        <v>188</v>
      </c>
      <c r="B171" s="4" t="s">
        <v>189</v>
      </c>
      <c r="C171" s="4" t="s">
        <v>190</v>
      </c>
      <c r="D171" s="32" t="s">
        <v>192</v>
      </c>
      <c r="E171" s="20">
        <v>400000</v>
      </c>
      <c r="F171" s="16">
        <f>E171</f>
        <v>400000</v>
      </c>
      <c r="G171" s="21"/>
    </row>
    <row r="172" spans="1:7" ht="15.95" customHeight="1" x14ac:dyDescent="0.2">
      <c r="A172" s="7"/>
      <c r="B172" s="7"/>
      <c r="C172" s="7"/>
      <c r="D172" s="15" t="s">
        <v>4</v>
      </c>
      <c r="E172" s="16">
        <f>SUBTOTAL(9,E171:E171)</f>
        <v>400000</v>
      </c>
    </row>
    <row r="173" spans="1:7" ht="15.95" customHeight="1" x14ac:dyDescent="0.2">
      <c r="A173" s="19" t="s">
        <v>9</v>
      </c>
    </row>
    <row r="174" spans="1:7" ht="15.95" customHeight="1" x14ac:dyDescent="0.2">
      <c r="A174" s="4" t="s">
        <v>193</v>
      </c>
      <c r="B174" s="4" t="s">
        <v>22</v>
      </c>
      <c r="C174" s="4" t="s">
        <v>190</v>
      </c>
      <c r="D174" s="32" t="s">
        <v>23</v>
      </c>
      <c r="E174" s="20">
        <v>400000</v>
      </c>
      <c r="F174" s="16">
        <f>E174</f>
        <v>400000</v>
      </c>
      <c r="G174" s="21"/>
    </row>
    <row r="175" spans="1:7" ht="15.95" customHeight="1" x14ac:dyDescent="0.2">
      <c r="C175" s="4"/>
      <c r="D175" s="15" t="s">
        <v>4</v>
      </c>
      <c r="E175" s="16">
        <f>SUBTOTAL(9,E174)</f>
        <v>400000</v>
      </c>
    </row>
    <row r="176" spans="1:7" ht="15.95" hidden="1" customHeight="1" x14ac:dyDescent="0.2">
      <c r="A176" s="30" t="s">
        <v>70</v>
      </c>
      <c r="B176" s="28"/>
      <c r="C176" s="28"/>
      <c r="D176" s="28"/>
      <c r="E176" s="29"/>
      <c r="F176" s="29"/>
    </row>
    <row r="177" spans="1:6" ht="15.95" hidden="1" customHeight="1" x14ac:dyDescent="0.2">
      <c r="A177" s="23"/>
      <c r="B177" s="28"/>
      <c r="C177" s="28"/>
      <c r="D177" s="28"/>
      <c r="E177" s="29"/>
      <c r="F177" s="29"/>
    </row>
    <row r="178" spans="1:6" ht="15.95" hidden="1" customHeight="1" x14ac:dyDescent="0.2">
      <c r="A178" s="19" t="s">
        <v>6</v>
      </c>
      <c r="D178" s="31"/>
      <c r="E178" s="45"/>
    </row>
    <row r="179" spans="1:6" ht="15.95" hidden="1" customHeight="1" x14ac:dyDescent="0.2">
      <c r="A179" s="4" t="s">
        <v>71</v>
      </c>
      <c r="C179" s="2" t="s">
        <v>45</v>
      </c>
      <c r="D179" s="32" t="s">
        <v>20</v>
      </c>
      <c r="E179" s="20">
        <v>0</v>
      </c>
      <c r="F179" s="16">
        <f>E179</f>
        <v>0</v>
      </c>
    </row>
    <row r="180" spans="1:6" ht="15.95" hidden="1" customHeight="1" x14ac:dyDescent="0.2">
      <c r="A180" s="7"/>
      <c r="B180" s="7"/>
      <c r="C180" s="7"/>
      <c r="D180" s="15" t="s">
        <v>4</v>
      </c>
      <c r="E180" s="16">
        <f>SUBTOTAL(9,E179:E179)</f>
        <v>0</v>
      </c>
    </row>
    <row r="181" spans="1:6" ht="15.95" hidden="1" customHeight="1" x14ac:dyDescent="0.2">
      <c r="A181" s="19" t="s">
        <v>9</v>
      </c>
    </row>
    <row r="182" spans="1:6" ht="15.95" hidden="1" customHeight="1" x14ac:dyDescent="0.2">
      <c r="A182" s="4" t="s">
        <v>72</v>
      </c>
      <c r="B182" s="4" t="s">
        <v>22</v>
      </c>
      <c r="C182" s="2" t="s">
        <v>44</v>
      </c>
      <c r="D182" s="32" t="s">
        <v>23</v>
      </c>
      <c r="E182" s="20"/>
    </row>
    <row r="183" spans="1:6" ht="15.95" hidden="1" customHeight="1" x14ac:dyDescent="0.2">
      <c r="C183" s="4"/>
      <c r="D183" s="15" t="s">
        <v>4</v>
      </c>
      <c r="E183" s="16">
        <f>SUBTOTAL(9,E182)</f>
        <v>0</v>
      </c>
    </row>
    <row r="184" spans="1:6" ht="15.95" customHeight="1" x14ac:dyDescent="0.2">
      <c r="A184" s="30" t="s">
        <v>127</v>
      </c>
      <c r="D184" s="31"/>
    </row>
    <row r="185" spans="1:6" ht="15.95" customHeight="1" x14ac:dyDescent="0.2">
      <c r="A185" s="18" t="s">
        <v>158</v>
      </c>
      <c r="D185" s="31"/>
    </row>
    <row r="186" spans="1:6" ht="15.95" customHeight="1" x14ac:dyDescent="0.2">
      <c r="A186" s="19" t="s">
        <v>6</v>
      </c>
      <c r="D186" s="31"/>
    </row>
    <row r="187" spans="1:6" ht="15.95" customHeight="1" x14ac:dyDescent="0.2">
      <c r="A187" s="4" t="s">
        <v>71</v>
      </c>
      <c r="B187" s="4" t="s">
        <v>123</v>
      </c>
      <c r="C187" s="4" t="s">
        <v>124</v>
      </c>
      <c r="D187" s="32" t="s">
        <v>125</v>
      </c>
      <c r="E187" s="16">
        <v>114823</v>
      </c>
      <c r="F187" s="16">
        <f>284135.86+E187</f>
        <v>398958.86</v>
      </c>
    </row>
    <row r="188" spans="1:6" ht="15.95" customHeight="1" x14ac:dyDescent="0.2">
      <c r="A188" s="4" t="s">
        <v>71</v>
      </c>
      <c r="B188" s="4" t="s">
        <v>123</v>
      </c>
      <c r="C188" s="4" t="s">
        <v>124</v>
      </c>
      <c r="D188" s="32" t="s">
        <v>125</v>
      </c>
      <c r="E188" s="20">
        <v>-56000</v>
      </c>
      <c r="F188" s="16">
        <f>F187+E188</f>
        <v>342958.86</v>
      </c>
    </row>
    <row r="189" spans="1:6" ht="15.95" customHeight="1" x14ac:dyDescent="0.2">
      <c r="A189" s="30"/>
      <c r="D189" s="15" t="s">
        <v>4</v>
      </c>
      <c r="E189" s="16">
        <f>SUBTOTAL(9,E187:E188)</f>
        <v>58823</v>
      </c>
    </row>
    <row r="190" spans="1:6" ht="15.95" customHeight="1" x14ac:dyDescent="0.2">
      <c r="A190" s="19" t="s">
        <v>9</v>
      </c>
      <c r="D190" s="31"/>
    </row>
    <row r="191" spans="1:6" ht="15.95" customHeight="1" x14ac:dyDescent="0.2">
      <c r="A191" s="4" t="s">
        <v>126</v>
      </c>
      <c r="B191" s="4" t="s">
        <v>17</v>
      </c>
      <c r="C191" s="4" t="s">
        <v>124</v>
      </c>
      <c r="D191" s="32" t="s">
        <v>18</v>
      </c>
      <c r="E191" s="16">
        <v>114823</v>
      </c>
      <c r="F191" s="16">
        <f>284135.86+E191</f>
        <v>398958.86</v>
      </c>
    </row>
    <row r="192" spans="1:6" ht="15.95" customHeight="1" x14ac:dyDescent="0.2">
      <c r="A192" s="4" t="s">
        <v>126</v>
      </c>
      <c r="B192" s="4" t="s">
        <v>17</v>
      </c>
      <c r="C192" s="4" t="s">
        <v>124</v>
      </c>
      <c r="D192" s="32" t="s">
        <v>18</v>
      </c>
      <c r="E192" s="20">
        <v>-56000</v>
      </c>
      <c r="F192" s="16">
        <f>F191+E192</f>
        <v>342958.86</v>
      </c>
    </row>
    <row r="193" spans="1:6" ht="15.95" customHeight="1" x14ac:dyDescent="0.2">
      <c r="A193" s="30"/>
      <c r="D193" s="15" t="s">
        <v>4</v>
      </c>
      <c r="E193" s="16">
        <f>SUBTOTAL(9,E191:E192)</f>
        <v>58823</v>
      </c>
    </row>
    <row r="194" spans="1:6" ht="15.95" customHeight="1" x14ac:dyDescent="0.2">
      <c r="A194" s="30"/>
      <c r="D194" s="15"/>
    </row>
    <row r="195" spans="1:6" ht="15.95" customHeight="1" thickBot="1" x14ac:dyDescent="0.25">
      <c r="D195" s="31" t="s">
        <v>216</v>
      </c>
      <c r="E195" s="46">
        <f>E155+E171</f>
        <v>514823</v>
      </c>
    </row>
    <row r="196" spans="1:6" ht="15.95" customHeight="1" thickTop="1" x14ac:dyDescent="0.2">
      <c r="A196" s="24" t="s">
        <v>8</v>
      </c>
      <c r="B196" s="24"/>
      <c r="C196" s="24"/>
      <c r="D196" s="24"/>
      <c r="E196" s="10" t="s">
        <v>0</v>
      </c>
      <c r="F196" s="10" t="s">
        <v>1</v>
      </c>
    </row>
    <row r="197" spans="1:6" ht="15.95" customHeight="1" x14ac:dyDescent="0.2">
      <c r="A197" s="27"/>
      <c r="B197" s="27"/>
      <c r="C197" s="27"/>
      <c r="D197" s="27"/>
      <c r="E197" s="12" t="s">
        <v>2</v>
      </c>
      <c r="F197" s="12" t="s">
        <v>3</v>
      </c>
    </row>
    <row r="198" spans="1:6" ht="11.25" customHeight="1" x14ac:dyDescent="0.2">
      <c r="A198" s="28"/>
      <c r="B198" s="28"/>
      <c r="C198" s="28"/>
      <c r="D198" s="28"/>
      <c r="E198" s="29"/>
      <c r="F198" s="29"/>
    </row>
    <row r="199" spans="1:6" ht="15.95" customHeight="1" x14ac:dyDescent="0.2">
      <c r="A199" s="23" t="s">
        <v>10</v>
      </c>
      <c r="B199" s="28"/>
      <c r="C199" s="28"/>
      <c r="D199" s="28"/>
      <c r="E199" s="29"/>
      <c r="F199" s="29"/>
    </row>
    <row r="200" spans="1:6" ht="14.25" customHeight="1" x14ac:dyDescent="0.2">
      <c r="A200" s="23"/>
      <c r="B200" s="28"/>
      <c r="C200" s="28"/>
      <c r="D200" s="28"/>
      <c r="E200" s="29"/>
      <c r="F200" s="29"/>
    </row>
    <row r="201" spans="1:6" ht="15.95" customHeight="1" x14ac:dyDescent="0.2">
      <c r="A201" s="30" t="s">
        <v>63</v>
      </c>
      <c r="D201" s="31"/>
    </row>
    <row r="202" spans="1:6" ht="15.95" customHeight="1" x14ac:dyDescent="0.2">
      <c r="A202" s="17"/>
      <c r="D202" s="31"/>
    </row>
    <row r="203" spans="1:6" ht="15.95" customHeight="1" x14ac:dyDescent="0.2">
      <c r="A203" s="19" t="s">
        <v>6</v>
      </c>
      <c r="D203" s="31"/>
      <c r="E203" s="45"/>
    </row>
    <row r="204" spans="1:6" ht="15.95" customHeight="1" x14ac:dyDescent="0.2">
      <c r="A204" s="4" t="s">
        <v>64</v>
      </c>
      <c r="B204" s="4" t="s">
        <v>65</v>
      </c>
      <c r="C204" s="4" t="s">
        <v>66</v>
      </c>
      <c r="D204" s="32" t="s">
        <v>67</v>
      </c>
      <c r="E204" s="20">
        <v>108528</v>
      </c>
      <c r="F204" s="16">
        <f>E204</f>
        <v>108528</v>
      </c>
    </row>
    <row r="205" spans="1:6" ht="15.95" customHeight="1" x14ac:dyDescent="0.2">
      <c r="A205" s="7"/>
      <c r="B205" s="7"/>
      <c r="C205" s="7"/>
      <c r="D205" s="15" t="s">
        <v>4</v>
      </c>
      <c r="E205" s="16">
        <f>SUM(E204:E204)</f>
        <v>108528</v>
      </c>
    </row>
    <row r="206" spans="1:6" ht="12.6" customHeight="1" x14ac:dyDescent="0.2">
      <c r="A206" s="19" t="s">
        <v>9</v>
      </c>
    </row>
    <row r="207" spans="1:6" ht="15.95" customHeight="1" x14ac:dyDescent="0.2">
      <c r="A207" s="4" t="s">
        <v>122</v>
      </c>
      <c r="B207" s="4" t="s">
        <v>46</v>
      </c>
      <c r="C207" s="4" t="s">
        <v>66</v>
      </c>
      <c r="D207" s="32" t="s">
        <v>47</v>
      </c>
      <c r="E207" s="20">
        <v>108528</v>
      </c>
      <c r="F207" s="16">
        <f>38137574.42+E207</f>
        <v>38246102.420000002</v>
      </c>
    </row>
    <row r="208" spans="1:6" ht="15.95" customHeight="1" x14ac:dyDescent="0.2">
      <c r="C208" s="4"/>
      <c r="D208" s="15" t="s">
        <v>4</v>
      </c>
      <c r="E208" s="16">
        <f>SUBTOTAL(9,E207)</f>
        <v>108528</v>
      </c>
    </row>
    <row r="209" spans="1:7" ht="15.95" customHeight="1" x14ac:dyDescent="0.2">
      <c r="A209" s="30" t="s">
        <v>97</v>
      </c>
      <c r="D209" s="31"/>
    </row>
    <row r="210" spans="1:7" ht="14.25" customHeight="1" x14ac:dyDescent="0.2">
      <c r="A210" s="17"/>
      <c r="D210" s="31"/>
    </row>
    <row r="211" spans="1:7" ht="15.95" customHeight="1" x14ac:dyDescent="0.2">
      <c r="A211" s="19" t="s">
        <v>6</v>
      </c>
      <c r="D211" s="31"/>
      <c r="E211" s="45"/>
    </row>
    <row r="212" spans="1:7" ht="15.95" customHeight="1" x14ac:dyDescent="0.2">
      <c r="A212" s="4" t="s">
        <v>98</v>
      </c>
      <c r="B212" s="4" t="s">
        <v>19</v>
      </c>
      <c r="C212" s="4" t="s">
        <v>99</v>
      </c>
      <c r="D212" s="32" t="s">
        <v>20</v>
      </c>
      <c r="E212" s="16">
        <v>62480</v>
      </c>
      <c r="F212" s="16">
        <f>E212</f>
        <v>62480</v>
      </c>
    </row>
    <row r="213" spans="1:7" ht="15.95" customHeight="1" x14ac:dyDescent="0.2">
      <c r="A213" s="4" t="s">
        <v>98</v>
      </c>
      <c r="B213" s="4" t="s">
        <v>100</v>
      </c>
      <c r="C213" s="4" t="s">
        <v>99</v>
      </c>
      <c r="D213" s="32" t="s">
        <v>101</v>
      </c>
      <c r="E213" s="20">
        <v>22320</v>
      </c>
      <c r="F213" s="16">
        <f>E213</f>
        <v>22320</v>
      </c>
    </row>
    <row r="214" spans="1:7" ht="15.95" customHeight="1" x14ac:dyDescent="0.2">
      <c r="A214" s="7"/>
      <c r="B214" s="7"/>
      <c r="C214" s="7"/>
      <c r="D214" s="15" t="s">
        <v>4</v>
      </c>
      <c r="E214" s="16">
        <f>SUBTOTAL(9,E212:E213)</f>
        <v>84800</v>
      </c>
    </row>
    <row r="215" spans="1:7" ht="15.95" customHeight="1" x14ac:dyDescent="0.2">
      <c r="A215" s="19" t="s">
        <v>9</v>
      </c>
    </row>
    <row r="216" spans="1:7" ht="15.95" customHeight="1" x14ac:dyDescent="0.2">
      <c r="A216" s="4" t="s">
        <v>102</v>
      </c>
      <c r="B216" s="4" t="s">
        <v>103</v>
      </c>
      <c r="C216" s="4" t="s">
        <v>99</v>
      </c>
      <c r="D216" s="32" t="s">
        <v>104</v>
      </c>
      <c r="E216" s="20">
        <v>84800</v>
      </c>
      <c r="F216" s="16">
        <f>E216</f>
        <v>84800</v>
      </c>
    </row>
    <row r="217" spans="1:7" ht="15.95" customHeight="1" x14ac:dyDescent="0.2">
      <c r="C217" s="4"/>
      <c r="D217" s="15" t="s">
        <v>4</v>
      </c>
      <c r="E217" s="16">
        <f>SUBTOTAL(9,E216)</f>
        <v>84800</v>
      </c>
    </row>
    <row r="218" spans="1:7" ht="15.95" customHeight="1" x14ac:dyDescent="0.2">
      <c r="A218" s="30" t="s">
        <v>162</v>
      </c>
      <c r="D218" s="31"/>
    </row>
    <row r="219" spans="1:7" ht="13.9" customHeight="1" x14ac:dyDescent="0.2">
      <c r="A219" s="17"/>
      <c r="D219" s="31"/>
    </row>
    <row r="220" spans="1:7" ht="15.95" customHeight="1" x14ac:dyDescent="0.2">
      <c r="A220" s="19" t="s">
        <v>6</v>
      </c>
      <c r="D220" s="31"/>
      <c r="E220" s="45"/>
    </row>
    <row r="221" spans="1:7" ht="15.95" customHeight="1" x14ac:dyDescent="0.2">
      <c r="A221" s="4" t="s">
        <v>163</v>
      </c>
      <c r="B221" s="4" t="s">
        <v>164</v>
      </c>
      <c r="C221" s="4" t="s">
        <v>165</v>
      </c>
      <c r="D221" s="32" t="s">
        <v>166</v>
      </c>
      <c r="E221" s="16">
        <v>387857</v>
      </c>
      <c r="F221" s="16">
        <f>255000+E221</f>
        <v>642857</v>
      </c>
    </row>
    <row r="222" spans="1:7" ht="15.95" customHeight="1" x14ac:dyDescent="0.2">
      <c r="A222" s="4" t="s">
        <v>167</v>
      </c>
      <c r="B222" s="4" t="s">
        <v>19</v>
      </c>
      <c r="C222" s="4" t="s">
        <v>165</v>
      </c>
      <c r="D222" s="32" t="s">
        <v>20</v>
      </c>
      <c r="E222" s="20">
        <v>60698</v>
      </c>
      <c r="F222" s="16">
        <f>299512+E222</f>
        <v>360210</v>
      </c>
    </row>
    <row r="223" spans="1:7" ht="15.95" customHeight="1" x14ac:dyDescent="0.2">
      <c r="A223" s="7"/>
      <c r="B223" s="7"/>
      <c r="C223" s="7"/>
      <c r="D223" s="15" t="s">
        <v>4</v>
      </c>
      <c r="E223" s="16">
        <f>SUM(E221:E222)</f>
        <v>448555</v>
      </c>
      <c r="G223" s="16"/>
    </row>
    <row r="224" spans="1:7" ht="15.95" customHeight="1" x14ac:dyDescent="0.2">
      <c r="A224" s="19" t="s">
        <v>9</v>
      </c>
    </row>
    <row r="225" spans="1:7" ht="15.95" customHeight="1" x14ac:dyDescent="0.2">
      <c r="A225" s="4" t="s">
        <v>218</v>
      </c>
      <c r="B225" s="4" t="s">
        <v>22</v>
      </c>
      <c r="C225" s="4" t="s">
        <v>165</v>
      </c>
      <c r="D225" s="32" t="s">
        <v>23</v>
      </c>
      <c r="E225" s="20">
        <f>387857+60698</f>
        <v>448555</v>
      </c>
      <c r="F225" s="16">
        <f>554512+E225</f>
        <v>1003067</v>
      </c>
    </row>
    <row r="226" spans="1:7" ht="15.95" customHeight="1" x14ac:dyDescent="0.2">
      <c r="C226" s="4"/>
      <c r="D226" s="15" t="s">
        <v>4</v>
      </c>
      <c r="E226" s="16">
        <f>SUBTOTAL(9,E225)</f>
        <v>448555</v>
      </c>
    </row>
    <row r="227" spans="1:7" ht="15.95" customHeight="1" x14ac:dyDescent="0.2">
      <c r="A227" s="30" t="s">
        <v>215</v>
      </c>
      <c r="D227" s="31"/>
    </row>
    <row r="228" spans="1:7" ht="10.9" customHeight="1" x14ac:dyDescent="0.2">
      <c r="A228" s="17"/>
      <c r="D228" s="31"/>
    </row>
    <row r="229" spans="1:7" ht="15.95" customHeight="1" x14ac:dyDescent="0.2">
      <c r="A229" s="19" t="s">
        <v>6</v>
      </c>
      <c r="D229" s="31"/>
      <c r="E229" s="45"/>
    </row>
    <row r="230" spans="1:7" ht="15.95" customHeight="1" x14ac:dyDescent="0.2">
      <c r="A230" s="4" t="s">
        <v>105</v>
      </c>
      <c r="B230" s="4" t="s">
        <v>19</v>
      </c>
      <c r="C230" s="4" t="s">
        <v>159</v>
      </c>
      <c r="D230" s="32" t="s">
        <v>20</v>
      </c>
      <c r="E230" s="20">
        <v>140000</v>
      </c>
      <c r="F230" s="16">
        <f>E230</f>
        <v>140000</v>
      </c>
      <c r="G230" s="21"/>
    </row>
    <row r="231" spans="1:7" ht="15.95" customHeight="1" x14ac:dyDescent="0.2">
      <c r="A231" s="7"/>
      <c r="B231" s="7"/>
      <c r="C231" s="7"/>
      <c r="D231" s="15" t="s">
        <v>4</v>
      </c>
      <c r="E231" s="16">
        <f>SUM(E230:E230)</f>
        <v>140000</v>
      </c>
    </row>
    <row r="232" spans="1:7" ht="15.95" customHeight="1" x14ac:dyDescent="0.2">
      <c r="A232" s="19" t="s">
        <v>9</v>
      </c>
    </row>
    <row r="233" spans="1:7" ht="15.95" customHeight="1" x14ac:dyDescent="0.2">
      <c r="A233" s="4" t="s">
        <v>21</v>
      </c>
      <c r="B233" s="4" t="s">
        <v>160</v>
      </c>
      <c r="C233" s="4" t="s">
        <v>159</v>
      </c>
      <c r="D233" s="32" t="s">
        <v>161</v>
      </c>
      <c r="E233" s="20">
        <v>140000</v>
      </c>
      <c r="F233" s="16">
        <f>E233</f>
        <v>140000</v>
      </c>
      <c r="G233" s="21"/>
    </row>
    <row r="234" spans="1:7" ht="15.95" customHeight="1" x14ac:dyDescent="0.2">
      <c r="C234" s="4"/>
      <c r="D234" s="15" t="s">
        <v>4</v>
      </c>
      <c r="E234" s="16">
        <f>SUBTOTAL(9,E233)</f>
        <v>140000</v>
      </c>
    </row>
    <row r="235" spans="1:7" ht="15.95" customHeight="1" x14ac:dyDescent="0.2">
      <c r="A235" s="30" t="s">
        <v>197</v>
      </c>
      <c r="D235" s="31"/>
    </row>
    <row r="236" spans="1:7" ht="13.15" customHeight="1" x14ac:dyDescent="0.2">
      <c r="A236" s="17"/>
      <c r="D236" s="31"/>
    </row>
    <row r="237" spans="1:7" ht="15.95" customHeight="1" x14ac:dyDescent="0.2">
      <c r="A237" s="19" t="s">
        <v>6</v>
      </c>
      <c r="D237" s="31"/>
      <c r="E237" s="45"/>
    </row>
    <row r="238" spans="1:7" ht="15.95" customHeight="1" x14ac:dyDescent="0.2">
      <c r="A238" s="4" t="s">
        <v>105</v>
      </c>
      <c r="B238" s="4" t="s">
        <v>153</v>
      </c>
      <c r="C238" s="4" t="s">
        <v>152</v>
      </c>
      <c r="D238" s="32" t="s">
        <v>154</v>
      </c>
      <c r="E238" s="16">
        <v>5632</v>
      </c>
      <c r="F238" s="16">
        <f>181200+E238</f>
        <v>186832</v>
      </c>
    </row>
    <row r="239" spans="1:7" ht="15.95" customHeight="1" x14ac:dyDescent="0.2">
      <c r="A239" s="4" t="s">
        <v>105</v>
      </c>
      <c r="B239" s="4" t="s">
        <v>19</v>
      </c>
      <c r="C239" s="4" t="s">
        <v>152</v>
      </c>
      <c r="D239" s="32" t="s">
        <v>20</v>
      </c>
      <c r="E239" s="20">
        <v>100000</v>
      </c>
      <c r="F239" s="16">
        <f>797827+E239</f>
        <v>897827</v>
      </c>
    </row>
    <row r="240" spans="1:7" ht="13.15" customHeight="1" x14ac:dyDescent="0.2">
      <c r="A240" s="7"/>
      <c r="B240" s="7"/>
      <c r="C240" s="7"/>
      <c r="D240" s="15" t="s">
        <v>4</v>
      </c>
      <c r="E240" s="16">
        <f>SUM(E238:E239)</f>
        <v>105632</v>
      </c>
    </row>
    <row r="241" spans="1:9" ht="15.95" customHeight="1" x14ac:dyDescent="0.2">
      <c r="A241" s="19" t="s">
        <v>9</v>
      </c>
    </row>
    <row r="242" spans="1:9" ht="15.95" customHeight="1" x14ac:dyDescent="0.2">
      <c r="A242" s="4" t="s">
        <v>21</v>
      </c>
      <c r="B242" s="4" t="s">
        <v>16</v>
      </c>
      <c r="C242" s="4" t="s">
        <v>152</v>
      </c>
      <c r="D242" s="32" t="s">
        <v>96</v>
      </c>
      <c r="E242" s="20">
        <v>105632</v>
      </c>
      <c r="F242" s="16">
        <f>5203789+E242</f>
        <v>5309421</v>
      </c>
    </row>
    <row r="243" spans="1:9" ht="15.95" customHeight="1" x14ac:dyDescent="0.2">
      <c r="C243" s="4"/>
      <c r="D243" s="15" t="s">
        <v>4</v>
      </c>
      <c r="E243" s="16">
        <f>SUBTOTAL(9,E242)</f>
        <v>105632</v>
      </c>
    </row>
    <row r="244" spans="1:9" ht="15.95" customHeight="1" x14ac:dyDescent="0.2">
      <c r="A244" s="24" t="s">
        <v>8</v>
      </c>
      <c r="B244" s="24"/>
      <c r="C244" s="24"/>
      <c r="D244" s="24"/>
      <c r="E244" s="10" t="s">
        <v>0</v>
      </c>
      <c r="F244" s="10" t="s">
        <v>1</v>
      </c>
    </row>
    <row r="245" spans="1:9" ht="15.95" customHeight="1" x14ac:dyDescent="0.2">
      <c r="A245" s="27"/>
      <c r="B245" s="27"/>
      <c r="C245" s="27"/>
      <c r="D245" s="27"/>
      <c r="E245" s="12" t="s">
        <v>2</v>
      </c>
      <c r="F245" s="12" t="s">
        <v>3</v>
      </c>
    </row>
    <row r="246" spans="1:9" ht="13.5" customHeight="1" x14ac:dyDescent="0.2">
      <c r="A246" s="28"/>
      <c r="B246" s="28"/>
      <c r="C246" s="28"/>
      <c r="D246" s="28"/>
      <c r="E246" s="29"/>
      <c r="F246" s="29"/>
    </row>
    <row r="247" spans="1:9" ht="15.95" customHeight="1" x14ac:dyDescent="0.2">
      <c r="A247" s="30" t="s">
        <v>107</v>
      </c>
      <c r="D247" s="31"/>
    </row>
    <row r="248" spans="1:9" ht="13.15" customHeight="1" x14ac:dyDescent="0.2">
      <c r="A248" s="17"/>
      <c r="D248" s="31"/>
    </row>
    <row r="249" spans="1:9" ht="15.95" customHeight="1" x14ac:dyDescent="0.2">
      <c r="A249" s="19" t="s">
        <v>6</v>
      </c>
      <c r="D249" s="31"/>
      <c r="E249" s="45"/>
    </row>
    <row r="250" spans="1:9" ht="15.95" customHeight="1" x14ac:dyDescent="0.2">
      <c r="A250" s="4" t="s">
        <v>105</v>
      </c>
      <c r="B250" s="4" t="s">
        <v>19</v>
      </c>
      <c r="C250" s="4" t="s">
        <v>106</v>
      </c>
      <c r="D250" s="32" t="s">
        <v>20</v>
      </c>
      <c r="E250" s="20">
        <v>60000</v>
      </c>
      <c r="F250" s="16">
        <f>455000+E250</f>
        <v>515000</v>
      </c>
    </row>
    <row r="251" spans="1:9" ht="15.95" customHeight="1" x14ac:dyDescent="0.2">
      <c r="A251" s="7"/>
      <c r="B251" s="7"/>
      <c r="C251" s="7"/>
      <c r="D251" s="15" t="s">
        <v>4</v>
      </c>
      <c r="E251" s="16">
        <f>SUM(E250:E250)</f>
        <v>60000</v>
      </c>
    </row>
    <row r="252" spans="1:9" ht="15.95" customHeight="1" x14ac:dyDescent="0.2">
      <c r="A252" s="19" t="s">
        <v>9</v>
      </c>
    </row>
    <row r="253" spans="1:9" ht="15.95" customHeight="1" x14ac:dyDescent="0.2">
      <c r="A253" s="4" t="s">
        <v>21</v>
      </c>
      <c r="B253" s="4" t="s">
        <v>46</v>
      </c>
      <c r="C253" s="4" t="s">
        <v>106</v>
      </c>
      <c r="D253" s="32" t="s">
        <v>47</v>
      </c>
      <c r="E253" s="20">
        <v>60000</v>
      </c>
      <c r="F253" s="16">
        <f>455000+E253</f>
        <v>515000</v>
      </c>
    </row>
    <row r="254" spans="1:9" ht="15.95" customHeight="1" x14ac:dyDescent="0.2">
      <c r="C254" s="4"/>
      <c r="D254" s="15" t="s">
        <v>4</v>
      </c>
      <c r="E254" s="16">
        <f>SUBTOTAL(9,E253)</f>
        <v>60000</v>
      </c>
    </row>
    <row r="255" spans="1:9" ht="15.95" customHeight="1" x14ac:dyDescent="0.2">
      <c r="A255" s="30" t="s">
        <v>111</v>
      </c>
      <c r="D255" s="31"/>
      <c r="E255" s="45"/>
      <c r="F255" s="33"/>
      <c r="I255" s="3"/>
    </row>
    <row r="256" spans="1:9" ht="15.95" customHeight="1" x14ac:dyDescent="0.2">
      <c r="A256" s="18" t="s">
        <v>196</v>
      </c>
      <c r="D256" s="31"/>
      <c r="E256" s="45"/>
      <c r="F256" s="33"/>
      <c r="I256" s="3"/>
    </row>
    <row r="257" spans="1:9" ht="15.95" customHeight="1" x14ac:dyDescent="0.2">
      <c r="A257" s="19" t="s">
        <v>6</v>
      </c>
      <c r="D257" s="31"/>
      <c r="E257" s="45"/>
      <c r="I257" s="3"/>
    </row>
    <row r="258" spans="1:9" ht="15.95" customHeight="1" x14ac:dyDescent="0.2">
      <c r="A258" s="4" t="s">
        <v>108</v>
      </c>
      <c r="B258" s="4" t="s">
        <v>19</v>
      </c>
      <c r="C258" s="4" t="s">
        <v>109</v>
      </c>
      <c r="D258" s="32" t="s">
        <v>20</v>
      </c>
      <c r="E258" s="16">
        <v>-62480</v>
      </c>
      <c r="I258" s="3"/>
    </row>
    <row r="259" spans="1:9" ht="15.95" customHeight="1" x14ac:dyDescent="0.2">
      <c r="A259" s="4" t="s">
        <v>108</v>
      </c>
      <c r="B259" s="4" t="s">
        <v>19</v>
      </c>
      <c r="C259" s="4" t="s">
        <v>109</v>
      </c>
      <c r="D259" s="32" t="s">
        <v>20</v>
      </c>
      <c r="E259" s="16">
        <v>-60000</v>
      </c>
      <c r="I259" s="3"/>
    </row>
    <row r="260" spans="1:9" ht="15.95" customHeight="1" x14ac:dyDescent="0.2">
      <c r="A260" s="4" t="s">
        <v>108</v>
      </c>
      <c r="B260" s="4" t="s">
        <v>19</v>
      </c>
      <c r="C260" s="4" t="s">
        <v>109</v>
      </c>
      <c r="D260" s="32" t="s">
        <v>20</v>
      </c>
      <c r="E260" s="16">
        <v>-100000</v>
      </c>
      <c r="I260" s="3"/>
    </row>
    <row r="261" spans="1:9" ht="15.95" customHeight="1" x14ac:dyDescent="0.2">
      <c r="A261" s="4" t="s">
        <v>108</v>
      </c>
      <c r="B261" s="4" t="s">
        <v>19</v>
      </c>
      <c r="C261" s="4" t="s">
        <v>109</v>
      </c>
      <c r="D261" s="32" t="s">
        <v>20</v>
      </c>
      <c r="E261" s="16">
        <v>-140000</v>
      </c>
      <c r="I261" s="3"/>
    </row>
    <row r="262" spans="1:9" ht="15.95" customHeight="1" x14ac:dyDescent="0.2">
      <c r="A262" s="4" t="s">
        <v>108</v>
      </c>
      <c r="B262" s="4" t="s">
        <v>19</v>
      </c>
      <c r="C262" s="4" t="s">
        <v>109</v>
      </c>
      <c r="D262" s="32" t="s">
        <v>20</v>
      </c>
      <c r="E262" s="16">
        <v>-60698</v>
      </c>
      <c r="I262" s="3"/>
    </row>
    <row r="263" spans="1:9" ht="15.95" customHeight="1" x14ac:dyDescent="0.2">
      <c r="A263" s="4" t="s">
        <v>108</v>
      </c>
      <c r="B263" s="4" t="s">
        <v>19</v>
      </c>
      <c r="C263" s="4" t="s">
        <v>109</v>
      </c>
      <c r="D263" s="32" t="s">
        <v>20</v>
      </c>
      <c r="E263" s="16">
        <v>879598.07999999996</v>
      </c>
      <c r="I263" s="3"/>
    </row>
    <row r="264" spans="1:9" ht="15.95" customHeight="1" x14ac:dyDescent="0.2">
      <c r="A264" s="7"/>
      <c r="B264" s="7"/>
      <c r="C264" s="7"/>
      <c r="D264" s="15" t="s">
        <v>4</v>
      </c>
      <c r="E264" s="44">
        <f>SUBTOTAL(9,E258:E263)</f>
        <v>456420.07999999996</v>
      </c>
      <c r="F264" s="16">
        <f>134410+E264</f>
        <v>590830.07999999996</v>
      </c>
      <c r="I264" s="3"/>
    </row>
    <row r="265" spans="1:9" ht="15.95" customHeight="1" x14ac:dyDescent="0.2">
      <c r="A265" s="19" t="s">
        <v>9</v>
      </c>
      <c r="I265" s="3"/>
    </row>
    <row r="266" spans="1:9" ht="15.95" customHeight="1" x14ac:dyDescent="0.2">
      <c r="A266" s="4" t="s">
        <v>110</v>
      </c>
      <c r="B266" s="4" t="s">
        <v>17</v>
      </c>
      <c r="C266" s="4" t="s">
        <v>109</v>
      </c>
      <c r="D266" s="32" t="s">
        <v>18</v>
      </c>
      <c r="E266" s="16">
        <f>E258+E259+E260+E261+E262</f>
        <v>-423178</v>
      </c>
      <c r="I266" s="3"/>
    </row>
    <row r="267" spans="1:9" ht="15.95" customHeight="1" x14ac:dyDescent="0.2">
      <c r="A267" s="4" t="s">
        <v>110</v>
      </c>
      <c r="B267" s="4" t="s">
        <v>17</v>
      </c>
      <c r="C267" s="4" t="s">
        <v>109</v>
      </c>
      <c r="D267" s="32" t="s">
        <v>18</v>
      </c>
      <c r="E267" s="16">
        <v>879598.07999999996</v>
      </c>
      <c r="I267" s="3"/>
    </row>
    <row r="268" spans="1:9" ht="15.95" customHeight="1" x14ac:dyDescent="0.2">
      <c r="A268" s="49"/>
      <c r="B268" s="49"/>
      <c r="C268" s="49"/>
      <c r="D268" s="50" t="s">
        <v>4</v>
      </c>
      <c r="E268" s="51">
        <f>SUBTOTAL(9,E266:E267)</f>
        <v>456420.07999999996</v>
      </c>
      <c r="F268" s="20">
        <f>134410+E268</f>
        <v>590830.07999999996</v>
      </c>
      <c r="I268" s="3"/>
    </row>
    <row r="269" spans="1:9" ht="15.95" customHeight="1" x14ac:dyDescent="0.2">
      <c r="A269" s="23" t="s">
        <v>141</v>
      </c>
      <c r="D269" s="31"/>
      <c r="E269" s="45"/>
      <c r="I269" s="3"/>
    </row>
    <row r="270" spans="1:9" ht="9.75" customHeight="1" x14ac:dyDescent="0.2">
      <c r="A270" s="23"/>
      <c r="D270" s="31"/>
      <c r="E270" s="45"/>
      <c r="I270" s="3"/>
    </row>
    <row r="271" spans="1:9" ht="15.95" customHeight="1" x14ac:dyDescent="0.2">
      <c r="A271" s="30" t="s">
        <v>142</v>
      </c>
      <c r="D271" s="31"/>
      <c r="E271" s="45"/>
      <c r="I271" s="3"/>
    </row>
    <row r="272" spans="1:9" ht="15.95" customHeight="1" x14ac:dyDescent="0.2">
      <c r="A272" s="19" t="s">
        <v>6</v>
      </c>
      <c r="D272" s="31"/>
      <c r="E272" s="45"/>
      <c r="I272" s="3"/>
    </row>
    <row r="273" spans="1:9" ht="15.95" customHeight="1" x14ac:dyDescent="0.2">
      <c r="A273" s="4" t="s">
        <v>143</v>
      </c>
      <c r="B273" s="4" t="s">
        <v>19</v>
      </c>
      <c r="C273" s="4" t="s">
        <v>144</v>
      </c>
      <c r="D273" s="32" t="s">
        <v>20</v>
      </c>
      <c r="E273" s="20">
        <v>122964</v>
      </c>
      <c r="F273" s="16">
        <f>501326+E273</f>
        <v>624290</v>
      </c>
      <c r="I273" s="3"/>
    </row>
    <row r="274" spans="1:9" ht="15.95" customHeight="1" x14ac:dyDescent="0.2">
      <c r="A274" s="7"/>
      <c r="B274" s="7"/>
      <c r="C274" s="7"/>
      <c r="D274" s="15" t="s">
        <v>4</v>
      </c>
      <c r="E274" s="16">
        <f>SUBTOTAL(9,E273:E273)</f>
        <v>122964</v>
      </c>
      <c r="I274" s="3"/>
    </row>
    <row r="275" spans="1:9" ht="15.95" customHeight="1" x14ac:dyDescent="0.2">
      <c r="A275" s="19" t="s">
        <v>9</v>
      </c>
      <c r="I275" s="3"/>
    </row>
    <row r="276" spans="1:9" ht="15.95" customHeight="1" x14ac:dyDescent="0.2">
      <c r="A276" s="4" t="s">
        <v>145</v>
      </c>
      <c r="B276" s="4" t="s">
        <v>103</v>
      </c>
      <c r="C276" s="4" t="s">
        <v>144</v>
      </c>
      <c r="D276" s="32" t="s">
        <v>146</v>
      </c>
      <c r="E276" s="20">
        <v>122964</v>
      </c>
      <c r="F276" s="16">
        <f>501326+E276</f>
        <v>624290</v>
      </c>
      <c r="I276" s="3"/>
    </row>
    <row r="277" spans="1:9" ht="15.95" customHeight="1" x14ac:dyDescent="0.2">
      <c r="A277" s="49"/>
      <c r="B277" s="49"/>
      <c r="C277" s="49"/>
      <c r="D277" s="50" t="s">
        <v>4</v>
      </c>
      <c r="E277" s="20">
        <f>SUBTOTAL(9,E276:E276)</f>
        <v>122964</v>
      </c>
      <c r="F277" s="20"/>
      <c r="I277" s="3"/>
    </row>
    <row r="278" spans="1:9" ht="15.95" customHeight="1" x14ac:dyDescent="0.2">
      <c r="A278" s="24" t="s">
        <v>8</v>
      </c>
      <c r="B278" s="24"/>
      <c r="C278" s="24"/>
      <c r="D278" s="24"/>
      <c r="E278" s="10" t="s">
        <v>0</v>
      </c>
      <c r="F278" s="10" t="s">
        <v>1</v>
      </c>
    </row>
    <row r="279" spans="1:9" ht="15.95" customHeight="1" x14ac:dyDescent="0.2">
      <c r="A279" s="27"/>
      <c r="B279" s="27"/>
      <c r="C279" s="27"/>
      <c r="D279" s="27"/>
      <c r="E279" s="12" t="s">
        <v>2</v>
      </c>
      <c r="F279" s="12" t="s">
        <v>3</v>
      </c>
    </row>
    <row r="280" spans="1:9" ht="15.95" customHeight="1" x14ac:dyDescent="0.2">
      <c r="A280" s="23"/>
      <c r="D280" s="31"/>
      <c r="E280" s="45"/>
      <c r="I280" s="3"/>
    </row>
    <row r="281" spans="1:9" ht="15.95" customHeight="1" x14ac:dyDescent="0.2">
      <c r="A281" s="23" t="s">
        <v>201</v>
      </c>
      <c r="D281" s="31"/>
      <c r="E281" s="45"/>
      <c r="I281" s="3"/>
    </row>
    <row r="282" spans="1:9" ht="8.25" customHeight="1" x14ac:dyDescent="0.2">
      <c r="A282" s="14"/>
      <c r="B282" s="14"/>
      <c r="C282" s="14"/>
      <c r="D282" s="15"/>
      <c r="I282" s="3"/>
    </row>
    <row r="283" spans="1:9" ht="15.95" customHeight="1" x14ac:dyDescent="0.2">
      <c r="A283" s="19" t="s">
        <v>6</v>
      </c>
      <c r="D283" s="31"/>
      <c r="E283" s="45"/>
      <c r="I283" s="3"/>
    </row>
    <row r="284" spans="1:9" ht="15.95" customHeight="1" x14ac:dyDescent="0.2">
      <c r="A284" s="4" t="s">
        <v>177</v>
      </c>
      <c r="B284" s="4" t="s">
        <v>173</v>
      </c>
      <c r="C284" s="4"/>
      <c r="D284" s="32" t="s">
        <v>174</v>
      </c>
      <c r="E284" s="20">
        <v>667274.65</v>
      </c>
      <c r="F284" s="16">
        <f>E284</f>
        <v>667274.65</v>
      </c>
      <c r="I284" s="3"/>
    </row>
    <row r="285" spans="1:9" ht="15.95" customHeight="1" x14ac:dyDescent="0.2">
      <c r="A285" s="7"/>
      <c r="B285" s="7"/>
      <c r="C285" s="7"/>
      <c r="D285" s="15" t="s">
        <v>4</v>
      </c>
      <c r="E285" s="16">
        <f>SUBTOTAL(9,E284:E284)</f>
        <v>667274.65</v>
      </c>
      <c r="I285" s="3"/>
    </row>
    <row r="286" spans="1:9" ht="15.95" customHeight="1" x14ac:dyDescent="0.2">
      <c r="A286" s="19" t="s">
        <v>9</v>
      </c>
      <c r="I286" s="3"/>
    </row>
    <row r="287" spans="1:9" ht="15.95" customHeight="1" x14ac:dyDescent="0.2">
      <c r="A287" s="4" t="s">
        <v>178</v>
      </c>
      <c r="B287" s="4" t="s">
        <v>179</v>
      </c>
      <c r="C287" s="4"/>
      <c r="D287" s="32" t="s">
        <v>180</v>
      </c>
      <c r="E287" s="20">
        <v>667274.65</v>
      </c>
      <c r="F287" s="16">
        <f>E287</f>
        <v>667274.65</v>
      </c>
      <c r="I287" s="3"/>
    </row>
    <row r="288" spans="1:9" ht="15.95" customHeight="1" x14ac:dyDescent="0.2">
      <c r="A288" s="14"/>
      <c r="B288" s="14"/>
      <c r="C288" s="14"/>
      <c r="D288" s="15" t="s">
        <v>4</v>
      </c>
      <c r="E288" s="16">
        <f>SUBTOTAL(9,E287:E287)</f>
        <v>667274.65</v>
      </c>
      <c r="I288" s="3"/>
    </row>
    <row r="289" spans="1:9" ht="15.95" customHeight="1" x14ac:dyDescent="0.2">
      <c r="A289" s="30" t="s">
        <v>200</v>
      </c>
      <c r="D289" s="31"/>
      <c r="E289" s="45"/>
      <c r="I289" s="3"/>
    </row>
    <row r="290" spans="1:9" ht="6" customHeight="1" x14ac:dyDescent="0.2">
      <c r="A290" s="30"/>
      <c r="D290" s="31"/>
      <c r="E290" s="45"/>
      <c r="I290" s="3"/>
    </row>
    <row r="291" spans="1:9" ht="15.95" customHeight="1" x14ac:dyDescent="0.2">
      <c r="A291" s="19" t="s">
        <v>6</v>
      </c>
      <c r="D291" s="31"/>
      <c r="E291" s="45"/>
      <c r="I291" s="3"/>
    </row>
    <row r="292" spans="1:9" ht="15.95" customHeight="1" x14ac:dyDescent="0.2">
      <c r="A292" s="4" t="s">
        <v>143</v>
      </c>
      <c r="B292" s="4" t="s">
        <v>182</v>
      </c>
      <c r="C292" s="4" t="s">
        <v>181</v>
      </c>
      <c r="D292" s="32" t="s">
        <v>183</v>
      </c>
      <c r="E292" s="20">
        <v>667274.65</v>
      </c>
      <c r="F292" s="16">
        <f>0+E292</f>
        <v>667274.65</v>
      </c>
      <c r="I292" s="3"/>
    </row>
    <row r="293" spans="1:9" ht="15.95" customHeight="1" x14ac:dyDescent="0.2">
      <c r="A293" s="7"/>
      <c r="B293" s="7"/>
      <c r="C293" s="7"/>
      <c r="D293" s="15" t="s">
        <v>4</v>
      </c>
      <c r="E293" s="16">
        <f>SUBTOTAL(9,E292:E292)</f>
        <v>667274.65</v>
      </c>
      <c r="I293" s="3"/>
    </row>
    <row r="294" spans="1:9" ht="15.95" customHeight="1" x14ac:dyDescent="0.2">
      <c r="A294" s="19" t="s">
        <v>9</v>
      </c>
      <c r="I294" s="3"/>
    </row>
    <row r="295" spans="1:9" ht="15.95" customHeight="1" x14ac:dyDescent="0.2">
      <c r="A295" s="4" t="s">
        <v>145</v>
      </c>
      <c r="B295" s="4" t="s">
        <v>17</v>
      </c>
      <c r="C295" s="4" t="s">
        <v>181</v>
      </c>
      <c r="D295" s="32" t="s">
        <v>18</v>
      </c>
      <c r="E295" s="20">
        <v>667274.65</v>
      </c>
      <c r="F295" s="16">
        <f>75489.61+E295</f>
        <v>742764.26</v>
      </c>
      <c r="I295" s="3"/>
    </row>
    <row r="296" spans="1:9" ht="15.95" customHeight="1" x14ac:dyDescent="0.2">
      <c r="A296" s="14"/>
      <c r="B296" s="14"/>
      <c r="C296" s="14"/>
      <c r="D296" s="15" t="s">
        <v>4</v>
      </c>
      <c r="E296" s="16">
        <f>SUBTOTAL(9,E295:E295)</f>
        <v>667274.65</v>
      </c>
      <c r="I296" s="3"/>
    </row>
    <row r="297" spans="1:9" ht="15.95" customHeight="1" x14ac:dyDescent="0.2">
      <c r="A297" s="23" t="s">
        <v>24</v>
      </c>
      <c r="D297" s="31"/>
      <c r="E297" s="45"/>
    </row>
    <row r="298" spans="1:9" ht="15.95" customHeight="1" x14ac:dyDescent="0.2">
      <c r="A298" s="23"/>
      <c r="D298" s="31"/>
      <c r="E298" s="45"/>
    </row>
    <row r="299" spans="1:9" ht="15.95" customHeight="1" x14ac:dyDescent="0.2">
      <c r="A299" s="30" t="s">
        <v>49</v>
      </c>
      <c r="D299" s="31"/>
      <c r="E299" s="45"/>
    </row>
    <row r="300" spans="1:9" ht="15.95" customHeight="1" x14ac:dyDescent="0.2">
      <c r="A300" s="17"/>
      <c r="D300" s="31"/>
      <c r="E300" s="45"/>
    </row>
    <row r="301" spans="1:9" ht="15.95" customHeight="1" x14ac:dyDescent="0.2">
      <c r="A301" s="19" t="s">
        <v>6</v>
      </c>
      <c r="D301" s="31"/>
      <c r="E301" s="45"/>
    </row>
    <row r="302" spans="1:9" ht="15.95" customHeight="1" x14ac:dyDescent="0.2">
      <c r="A302" s="4" t="s">
        <v>50</v>
      </c>
      <c r="B302" s="4" t="s">
        <v>51</v>
      </c>
      <c r="C302" s="4" t="s">
        <v>52</v>
      </c>
      <c r="D302" s="32" t="s">
        <v>53</v>
      </c>
      <c r="E302" s="20">
        <v>468482</v>
      </c>
      <c r="F302" s="16">
        <f>9128125+E302</f>
        <v>9596607</v>
      </c>
    </row>
    <row r="303" spans="1:9" ht="15.95" customHeight="1" x14ac:dyDescent="0.2">
      <c r="A303" s="7"/>
      <c r="B303" s="7"/>
      <c r="C303" s="7"/>
      <c r="D303" s="15" t="s">
        <v>4</v>
      </c>
      <c r="E303" s="16">
        <f>SUBTOTAL(9,E302:E302)</f>
        <v>468482</v>
      </c>
    </row>
    <row r="304" spans="1:9" ht="15.95" customHeight="1" x14ac:dyDescent="0.2">
      <c r="A304" s="19" t="s">
        <v>9</v>
      </c>
    </row>
    <row r="305" spans="1:6" ht="15.95" customHeight="1" x14ac:dyDescent="0.2">
      <c r="A305" s="4" t="s">
        <v>54</v>
      </c>
      <c r="B305" s="4" t="s">
        <v>16</v>
      </c>
      <c r="C305" s="4" t="s">
        <v>52</v>
      </c>
      <c r="D305" s="7" t="s">
        <v>28</v>
      </c>
      <c r="E305" s="20">
        <v>468482</v>
      </c>
      <c r="F305" s="16">
        <f>32374625+E305</f>
        <v>32843107</v>
      </c>
    </row>
    <row r="306" spans="1:6" ht="15.95" customHeight="1" x14ac:dyDescent="0.2">
      <c r="A306" s="14"/>
      <c r="B306" s="14"/>
      <c r="C306" s="14"/>
      <c r="D306" s="15" t="s">
        <v>4</v>
      </c>
      <c r="E306" s="16">
        <f>SUBTOTAL(9,E305:E305)</f>
        <v>468482</v>
      </c>
    </row>
    <row r="307" spans="1:6" ht="15.95" customHeight="1" x14ac:dyDescent="0.2">
      <c r="A307" s="30" t="s">
        <v>84</v>
      </c>
      <c r="D307" s="31"/>
      <c r="E307" s="45"/>
    </row>
    <row r="308" spans="1:6" ht="15.95" customHeight="1" x14ac:dyDescent="0.2">
      <c r="A308" s="30"/>
      <c r="D308" s="31"/>
      <c r="E308" s="45"/>
    </row>
    <row r="309" spans="1:6" ht="15.95" customHeight="1" x14ac:dyDescent="0.2">
      <c r="A309" s="19" t="s">
        <v>6</v>
      </c>
      <c r="D309" s="31"/>
      <c r="E309" s="45"/>
    </row>
    <row r="310" spans="1:6" ht="15.95" customHeight="1" x14ac:dyDescent="0.2">
      <c r="A310" s="4" t="s">
        <v>25</v>
      </c>
      <c r="B310" s="4" t="s">
        <v>26</v>
      </c>
      <c r="C310" s="4" t="s">
        <v>83</v>
      </c>
      <c r="D310" s="32" t="s">
        <v>77</v>
      </c>
      <c r="E310" s="20">
        <v>120000</v>
      </c>
      <c r="F310" s="16">
        <f>0+E310</f>
        <v>120000</v>
      </c>
    </row>
    <row r="311" spans="1:6" ht="15.95" customHeight="1" x14ac:dyDescent="0.2">
      <c r="A311" s="7"/>
      <c r="B311" s="7"/>
      <c r="C311" s="7"/>
      <c r="D311" s="15" t="s">
        <v>4</v>
      </c>
      <c r="E311" s="16">
        <f>SUBTOTAL(9,E310:E310)</f>
        <v>120000</v>
      </c>
    </row>
    <row r="312" spans="1:6" ht="15.95" customHeight="1" x14ac:dyDescent="0.2">
      <c r="A312" s="19" t="s">
        <v>9</v>
      </c>
    </row>
    <row r="313" spans="1:6" ht="15.95" customHeight="1" x14ac:dyDescent="0.2">
      <c r="A313" s="4" t="s">
        <v>31</v>
      </c>
      <c r="B313" s="4" t="s">
        <v>16</v>
      </c>
      <c r="C313" s="4" t="s">
        <v>83</v>
      </c>
      <c r="D313" s="7" t="s">
        <v>28</v>
      </c>
      <c r="E313" s="20">
        <v>120000</v>
      </c>
      <c r="F313" s="16">
        <f>0+E313</f>
        <v>120000</v>
      </c>
    </row>
    <row r="314" spans="1:6" ht="15.95" customHeight="1" x14ac:dyDescent="0.2">
      <c r="A314" s="14"/>
      <c r="B314" s="14"/>
      <c r="C314" s="14"/>
      <c r="D314" s="15" t="s">
        <v>4</v>
      </c>
      <c r="E314" s="16">
        <f>SUBTOTAL(9,E313:E313)</f>
        <v>120000</v>
      </c>
    </row>
    <row r="315" spans="1:6" ht="15.95" customHeight="1" x14ac:dyDescent="0.2">
      <c r="A315" s="30" t="s">
        <v>195</v>
      </c>
      <c r="D315" s="31"/>
      <c r="E315" s="45"/>
    </row>
    <row r="316" spans="1:6" ht="15.95" customHeight="1" x14ac:dyDescent="0.2">
      <c r="A316" s="30"/>
      <c r="D316" s="31"/>
      <c r="E316" s="45"/>
    </row>
    <row r="317" spans="1:6" ht="15.95" customHeight="1" x14ac:dyDescent="0.2">
      <c r="A317" s="19" t="s">
        <v>6</v>
      </c>
      <c r="D317" s="31"/>
      <c r="E317" s="45"/>
    </row>
    <row r="318" spans="1:6" ht="15.95" customHeight="1" x14ac:dyDescent="0.2">
      <c r="A318" s="4" t="s">
        <v>25</v>
      </c>
      <c r="B318" s="4" t="s">
        <v>26</v>
      </c>
      <c r="C318" s="4" t="s">
        <v>76</v>
      </c>
      <c r="D318" s="32" t="s">
        <v>77</v>
      </c>
      <c r="E318" s="20">
        <v>125000</v>
      </c>
      <c r="F318" s="16">
        <f>100000+E318</f>
        <v>225000</v>
      </c>
    </row>
    <row r="319" spans="1:6" ht="15.95" customHeight="1" x14ac:dyDescent="0.2">
      <c r="A319" s="7"/>
      <c r="B319" s="7"/>
      <c r="C319" s="7"/>
      <c r="D319" s="15" t="s">
        <v>4</v>
      </c>
      <c r="E319" s="16">
        <f>SUBTOTAL(9,E318:E318)</f>
        <v>125000</v>
      </c>
    </row>
    <row r="320" spans="1:6" ht="15.95" customHeight="1" x14ac:dyDescent="0.2">
      <c r="A320" s="19" t="s">
        <v>9</v>
      </c>
    </row>
    <row r="321" spans="1:9" ht="15.95" customHeight="1" x14ac:dyDescent="0.2">
      <c r="A321" s="4" t="s">
        <v>31</v>
      </c>
      <c r="B321" s="4" t="s">
        <v>16</v>
      </c>
      <c r="C321" s="4" t="s">
        <v>76</v>
      </c>
      <c r="D321" s="32" t="s">
        <v>96</v>
      </c>
      <c r="E321" s="20">
        <v>125000</v>
      </c>
      <c r="F321" s="16">
        <f>100000+E321</f>
        <v>225000</v>
      </c>
    </row>
    <row r="322" spans="1:9" ht="15.95" customHeight="1" x14ac:dyDescent="0.2">
      <c r="A322" s="14"/>
      <c r="B322" s="14"/>
      <c r="C322" s="14"/>
      <c r="D322" s="15" t="s">
        <v>4</v>
      </c>
      <c r="E322" s="16">
        <f>SUBTOTAL(9,E321:E321)</f>
        <v>125000</v>
      </c>
    </row>
    <row r="323" spans="1:9" ht="15.95" customHeight="1" x14ac:dyDescent="0.2">
      <c r="A323" s="14"/>
      <c r="B323" s="14"/>
      <c r="C323" s="14"/>
      <c r="D323" s="15"/>
    </row>
    <row r="324" spans="1:9" ht="15.95" customHeight="1" x14ac:dyDescent="0.2">
      <c r="A324" s="24" t="s">
        <v>8</v>
      </c>
      <c r="B324" s="24"/>
      <c r="C324" s="24"/>
      <c r="D324" s="24"/>
      <c r="E324" s="10" t="s">
        <v>0</v>
      </c>
      <c r="F324" s="10" t="s">
        <v>1</v>
      </c>
    </row>
    <row r="325" spans="1:9" ht="15.95" customHeight="1" x14ac:dyDescent="0.2">
      <c r="A325" s="27"/>
      <c r="B325" s="27"/>
      <c r="C325" s="27"/>
      <c r="D325" s="27"/>
      <c r="E325" s="12" t="s">
        <v>2</v>
      </c>
      <c r="F325" s="12" t="s">
        <v>3</v>
      </c>
    </row>
    <row r="326" spans="1:9" ht="15.95" customHeight="1" x14ac:dyDescent="0.2">
      <c r="A326" s="30" t="s">
        <v>29</v>
      </c>
      <c r="D326" s="31"/>
      <c r="E326" s="45"/>
      <c r="F326" s="33"/>
      <c r="I326" s="3"/>
    </row>
    <row r="327" spans="1:9" ht="15.95" customHeight="1" x14ac:dyDescent="0.2">
      <c r="A327" s="18" t="s">
        <v>204</v>
      </c>
      <c r="D327" s="31"/>
      <c r="E327" s="45"/>
      <c r="F327" s="33"/>
      <c r="I327" s="3"/>
    </row>
    <row r="328" spans="1:9" ht="15.95" customHeight="1" x14ac:dyDescent="0.2">
      <c r="A328" s="19" t="s">
        <v>6</v>
      </c>
      <c r="D328" s="31"/>
      <c r="E328" s="45"/>
      <c r="I328" s="3"/>
    </row>
    <row r="329" spans="1:9" ht="15.95" customHeight="1" x14ac:dyDescent="0.2">
      <c r="A329" s="4" t="s">
        <v>25</v>
      </c>
      <c r="B329" s="4" t="s">
        <v>26</v>
      </c>
      <c r="C329" s="4" t="s">
        <v>30</v>
      </c>
      <c r="D329" s="32" t="s">
        <v>27</v>
      </c>
      <c r="E329" s="16">
        <v>-267320</v>
      </c>
      <c r="F329" s="16">
        <f>3141847.83+E329</f>
        <v>2874527.83</v>
      </c>
      <c r="I329" s="3"/>
    </row>
    <row r="330" spans="1:9" ht="15.95" customHeight="1" x14ac:dyDescent="0.2">
      <c r="A330" s="7"/>
      <c r="B330" s="7"/>
      <c r="C330" s="7"/>
      <c r="D330" s="15" t="s">
        <v>4</v>
      </c>
      <c r="E330" s="44">
        <f>SUBTOTAL(9,E329:E329)</f>
        <v>-267320</v>
      </c>
      <c r="I330" s="3"/>
    </row>
    <row r="331" spans="1:9" ht="15.95" customHeight="1" x14ac:dyDescent="0.2">
      <c r="A331" s="19" t="s">
        <v>9</v>
      </c>
      <c r="I331" s="3"/>
    </row>
    <row r="332" spans="1:9" ht="15.95" customHeight="1" x14ac:dyDescent="0.2">
      <c r="A332" s="4" t="s">
        <v>31</v>
      </c>
      <c r="B332" s="4" t="s">
        <v>17</v>
      </c>
      <c r="C332" s="4" t="s">
        <v>30</v>
      </c>
      <c r="D332" s="32" t="s">
        <v>18</v>
      </c>
      <c r="E332" s="16">
        <v>-267320</v>
      </c>
      <c r="F332" s="16">
        <f>3554822.83+E332</f>
        <v>3287502.83</v>
      </c>
      <c r="I332" s="3"/>
    </row>
    <row r="333" spans="1:9" ht="15.95" customHeight="1" x14ac:dyDescent="0.2">
      <c r="A333" s="14"/>
      <c r="B333" s="14"/>
      <c r="C333" s="14"/>
      <c r="D333" s="15" t="s">
        <v>4</v>
      </c>
      <c r="E333" s="44">
        <f>SUBTOTAL(9,E332)</f>
        <v>-267320</v>
      </c>
      <c r="I333" s="3"/>
    </row>
    <row r="334" spans="1:9" ht="15.95" customHeight="1" x14ac:dyDescent="0.2">
      <c r="A334" s="28"/>
      <c r="B334" s="28"/>
      <c r="C334" s="28"/>
      <c r="D334" s="28"/>
      <c r="E334" s="29"/>
      <c r="F334" s="29"/>
    </row>
    <row r="335" spans="1:9" ht="10.5" customHeight="1" x14ac:dyDescent="0.2">
      <c r="A335" s="28"/>
      <c r="B335" s="28"/>
      <c r="C335" s="28"/>
      <c r="D335" s="28"/>
      <c r="E335" s="29"/>
      <c r="F335" s="29"/>
    </row>
    <row r="336" spans="1:9" ht="15.95" customHeight="1" x14ac:dyDescent="0.2">
      <c r="A336" s="30" t="s">
        <v>202</v>
      </c>
      <c r="D336" s="31"/>
      <c r="E336" s="45"/>
      <c r="F336" s="33"/>
      <c r="I336" s="3"/>
    </row>
    <row r="337" spans="1:9" ht="10.5" customHeight="1" x14ac:dyDescent="0.2">
      <c r="A337" s="18"/>
      <c r="D337" s="31"/>
      <c r="E337" s="45"/>
      <c r="F337" s="33"/>
      <c r="I337" s="3"/>
    </row>
    <row r="338" spans="1:9" ht="15.95" customHeight="1" x14ac:dyDescent="0.2">
      <c r="A338" s="41">
        <v>413840</v>
      </c>
      <c r="B338" s="41">
        <v>384023</v>
      </c>
      <c r="C338" s="41">
        <v>31122</v>
      </c>
      <c r="D338" s="32" t="s">
        <v>185</v>
      </c>
      <c r="E338" s="42">
        <v>-800000</v>
      </c>
      <c r="F338" s="42">
        <f>8100000+E338</f>
        <v>7300000</v>
      </c>
      <c r="I338" s="3"/>
    </row>
    <row r="339" spans="1:9" ht="15.95" customHeight="1" x14ac:dyDescent="0.2">
      <c r="A339" s="41">
        <v>413840</v>
      </c>
      <c r="B339" s="41">
        <v>384009</v>
      </c>
      <c r="C339" s="41">
        <v>31122</v>
      </c>
      <c r="D339" s="32" t="s">
        <v>186</v>
      </c>
      <c r="E339" s="42">
        <v>800000</v>
      </c>
      <c r="F339" s="42">
        <f>+E339</f>
        <v>800000</v>
      </c>
      <c r="I339" s="3"/>
    </row>
    <row r="340" spans="1:9" ht="15.95" customHeight="1" x14ac:dyDescent="0.2">
      <c r="A340" s="41">
        <v>413840</v>
      </c>
      <c r="B340" s="41">
        <v>384023</v>
      </c>
      <c r="C340" s="41">
        <v>31320</v>
      </c>
      <c r="D340" s="32" t="s">
        <v>185</v>
      </c>
      <c r="E340" s="42">
        <v>-51465.65</v>
      </c>
      <c r="F340" s="42">
        <f>18453087+E340</f>
        <v>18401621.350000001</v>
      </c>
      <c r="I340" s="3"/>
    </row>
    <row r="341" spans="1:9" ht="15.95" customHeight="1" x14ac:dyDescent="0.2">
      <c r="A341" s="41">
        <v>413840</v>
      </c>
      <c r="B341" s="41">
        <v>384009</v>
      </c>
      <c r="C341" s="41">
        <v>31320</v>
      </c>
      <c r="D341" s="32" t="s">
        <v>186</v>
      </c>
      <c r="E341" s="42">
        <v>51465.65</v>
      </c>
      <c r="F341" s="42">
        <f>E341</f>
        <v>51465.65</v>
      </c>
      <c r="I341" s="3"/>
    </row>
    <row r="342" spans="1:9" ht="15.95" customHeight="1" x14ac:dyDescent="0.2">
      <c r="A342" s="41">
        <v>413840</v>
      </c>
      <c r="B342" s="41">
        <v>384023</v>
      </c>
      <c r="C342" s="41">
        <v>30024</v>
      </c>
      <c r="D342" s="32" t="s">
        <v>185</v>
      </c>
      <c r="E342" s="42">
        <v>851465.65</v>
      </c>
      <c r="F342" s="42">
        <v>800000</v>
      </c>
      <c r="I342" s="3"/>
    </row>
    <row r="343" spans="1:9" ht="15.95" customHeight="1" x14ac:dyDescent="0.2">
      <c r="A343" s="41">
        <v>413870</v>
      </c>
      <c r="B343" s="41">
        <v>387028</v>
      </c>
      <c r="C343" s="41">
        <v>30024</v>
      </c>
      <c r="D343" s="32" t="s">
        <v>77</v>
      </c>
      <c r="E343" s="42">
        <v>-851465.65</v>
      </c>
      <c r="F343" s="42">
        <f>1404253.85-800000</f>
        <v>604253.85000000009</v>
      </c>
      <c r="I343" s="3"/>
    </row>
    <row r="344" spans="1:9" ht="15.95" customHeight="1" x14ac:dyDescent="0.2">
      <c r="A344" s="41">
        <v>413870</v>
      </c>
      <c r="B344" s="41">
        <v>387028</v>
      </c>
      <c r="C344" s="41">
        <v>30099</v>
      </c>
      <c r="D344" s="32" t="s">
        <v>77</v>
      </c>
      <c r="E344" s="42">
        <f>800000+51465.65</f>
        <v>851465.65</v>
      </c>
      <c r="F344" s="42">
        <f>F329+E344</f>
        <v>3725993.48</v>
      </c>
      <c r="I344" s="3"/>
    </row>
    <row r="345" spans="1:9" ht="15.95" customHeight="1" x14ac:dyDescent="0.2">
      <c r="A345" s="41">
        <v>41336</v>
      </c>
      <c r="B345" s="41">
        <v>590300</v>
      </c>
      <c r="C345" s="41">
        <v>30099</v>
      </c>
      <c r="D345" s="32" t="s">
        <v>18</v>
      </c>
      <c r="E345" s="42">
        <v>851465.65</v>
      </c>
      <c r="F345" s="42">
        <f>F332+E345</f>
        <v>4138968.48</v>
      </c>
      <c r="I345" s="3"/>
    </row>
    <row r="346" spans="1:9" ht="15.95" customHeight="1" x14ac:dyDescent="0.2">
      <c r="A346" s="41">
        <v>413840</v>
      </c>
      <c r="B346" s="41">
        <v>384023</v>
      </c>
      <c r="C346" s="41">
        <v>31122</v>
      </c>
      <c r="D346" s="32" t="s">
        <v>185</v>
      </c>
      <c r="E346" s="42">
        <v>-325306</v>
      </c>
      <c r="F346" s="42">
        <f>F338+E346</f>
        <v>6974694</v>
      </c>
      <c r="I346" s="3"/>
    </row>
    <row r="347" spans="1:9" ht="15.95" customHeight="1" x14ac:dyDescent="0.2">
      <c r="A347" s="41">
        <v>413840</v>
      </c>
      <c r="B347" s="41">
        <v>384009</v>
      </c>
      <c r="C347" s="41">
        <v>31122</v>
      </c>
      <c r="D347" s="32" t="s">
        <v>186</v>
      </c>
      <c r="E347" s="42">
        <v>325306</v>
      </c>
      <c r="F347" s="42">
        <f>F339+E347</f>
        <v>1125306</v>
      </c>
      <c r="I347" s="3"/>
    </row>
    <row r="348" spans="1:9" ht="15.95" customHeight="1" x14ac:dyDescent="0.2">
      <c r="A348" s="41">
        <v>413870</v>
      </c>
      <c r="B348" s="41">
        <v>387028</v>
      </c>
      <c r="C348" s="41">
        <v>30117</v>
      </c>
      <c r="D348" s="32" t="s">
        <v>77</v>
      </c>
      <c r="E348" s="42">
        <v>-325306</v>
      </c>
      <c r="F348" s="42">
        <f>517087+E348</f>
        <v>191781</v>
      </c>
      <c r="I348" s="3"/>
    </row>
    <row r="349" spans="1:9" ht="15.95" customHeight="1" x14ac:dyDescent="0.2">
      <c r="A349" s="41">
        <v>413840</v>
      </c>
      <c r="B349" s="41">
        <v>384023</v>
      </c>
      <c r="C349" s="41">
        <v>30117</v>
      </c>
      <c r="D349" s="32" t="s">
        <v>185</v>
      </c>
      <c r="E349" s="42">
        <v>325306</v>
      </c>
      <c r="F349" s="42">
        <f>+E349</f>
        <v>325306</v>
      </c>
      <c r="I349" s="3"/>
    </row>
    <row r="350" spans="1:9" ht="15.95" customHeight="1" x14ac:dyDescent="0.2">
      <c r="A350" s="41">
        <v>413870</v>
      </c>
      <c r="B350" s="41">
        <v>387028</v>
      </c>
      <c r="C350" s="41">
        <v>30099</v>
      </c>
      <c r="D350" s="32" t="s">
        <v>77</v>
      </c>
      <c r="E350" s="42">
        <v>325306</v>
      </c>
      <c r="F350" s="42">
        <f>F344+E350</f>
        <v>4051299.48</v>
      </c>
      <c r="I350" s="3"/>
    </row>
    <row r="351" spans="1:9" ht="15.95" customHeight="1" x14ac:dyDescent="0.2">
      <c r="A351" s="41">
        <v>41336</v>
      </c>
      <c r="B351" s="41">
        <v>590300</v>
      </c>
      <c r="C351" s="41">
        <v>30099</v>
      </c>
      <c r="D351" s="32" t="s">
        <v>18</v>
      </c>
      <c r="E351" s="42">
        <v>325306</v>
      </c>
      <c r="F351" s="42">
        <f>F345+E351</f>
        <v>4464274.4800000004</v>
      </c>
      <c r="I351" s="3"/>
    </row>
    <row r="352" spans="1:9" ht="15.95" customHeight="1" x14ac:dyDescent="0.2">
      <c r="A352" s="41">
        <v>413840</v>
      </c>
      <c r="B352" s="41">
        <v>384023</v>
      </c>
      <c r="C352" s="41">
        <v>31122</v>
      </c>
      <c r="D352" s="32" t="s">
        <v>185</v>
      </c>
      <c r="E352" s="42">
        <v>-896062.8</v>
      </c>
      <c r="F352" s="42">
        <f>F346+E352</f>
        <v>6078631.2000000002</v>
      </c>
      <c r="I352" s="3"/>
    </row>
    <row r="353" spans="1:9" ht="15.95" customHeight="1" x14ac:dyDescent="0.2">
      <c r="A353" s="41">
        <v>413840</v>
      </c>
      <c r="B353" s="41">
        <v>384009</v>
      </c>
      <c r="C353" s="41">
        <v>31122</v>
      </c>
      <c r="D353" s="32" t="s">
        <v>186</v>
      </c>
      <c r="E353" s="42">
        <v>896062.8</v>
      </c>
      <c r="F353" s="42">
        <f>F347+E353</f>
        <v>2021368.8</v>
      </c>
      <c r="I353" s="3"/>
    </row>
    <row r="354" spans="1:9" ht="15.95" customHeight="1" x14ac:dyDescent="0.2">
      <c r="A354" s="41">
        <v>413870</v>
      </c>
      <c r="B354" s="41">
        <v>387028</v>
      </c>
      <c r="C354" s="41">
        <v>30422</v>
      </c>
      <c r="D354" s="32" t="s">
        <v>77</v>
      </c>
      <c r="E354" s="42">
        <v>-896062.8</v>
      </c>
      <c r="F354" s="42">
        <f>896062.8+E354</f>
        <v>0</v>
      </c>
      <c r="I354" s="3"/>
    </row>
    <row r="355" spans="1:9" ht="15.95" customHeight="1" x14ac:dyDescent="0.2">
      <c r="A355" s="41">
        <v>413840</v>
      </c>
      <c r="B355" s="41">
        <v>384023</v>
      </c>
      <c r="C355" s="41">
        <v>30422</v>
      </c>
      <c r="D355" s="32" t="s">
        <v>185</v>
      </c>
      <c r="E355" s="42">
        <v>896062.8</v>
      </c>
      <c r="F355" s="42">
        <f>+E355</f>
        <v>896062.8</v>
      </c>
      <c r="I355" s="3"/>
    </row>
    <row r="356" spans="1:9" ht="15.95" customHeight="1" x14ac:dyDescent="0.2">
      <c r="A356" s="41">
        <v>413870</v>
      </c>
      <c r="B356" s="41">
        <v>387028</v>
      </c>
      <c r="C356" s="41">
        <v>30099</v>
      </c>
      <c r="D356" s="32" t="s">
        <v>77</v>
      </c>
      <c r="E356" s="42">
        <v>896062.8</v>
      </c>
      <c r="F356" s="42">
        <f>F350+E356</f>
        <v>4947362.28</v>
      </c>
      <c r="I356" s="3"/>
    </row>
    <row r="357" spans="1:9" ht="15.95" customHeight="1" x14ac:dyDescent="0.2">
      <c r="A357" s="41">
        <v>41336</v>
      </c>
      <c r="B357" s="41">
        <v>590300</v>
      </c>
      <c r="C357" s="41">
        <v>30099</v>
      </c>
      <c r="D357" s="32" t="s">
        <v>18</v>
      </c>
      <c r="E357" s="42">
        <v>896062.8</v>
      </c>
      <c r="F357" s="42">
        <f>F351+E357</f>
        <v>5360337.28</v>
      </c>
      <c r="I357" s="3"/>
    </row>
    <row r="358" spans="1:9" ht="15.95" customHeight="1" x14ac:dyDescent="0.2">
      <c r="A358" s="41">
        <v>413840</v>
      </c>
      <c r="B358" s="41">
        <v>384023</v>
      </c>
      <c r="C358" s="41">
        <v>31122</v>
      </c>
      <c r="D358" s="32" t="s">
        <v>185</v>
      </c>
      <c r="E358" s="42">
        <v>-712505.49</v>
      </c>
      <c r="F358" s="42">
        <f>F352+E358</f>
        <v>5366125.71</v>
      </c>
      <c r="I358" s="3"/>
    </row>
    <row r="359" spans="1:9" ht="15.95" customHeight="1" x14ac:dyDescent="0.2">
      <c r="A359" s="41">
        <v>413840</v>
      </c>
      <c r="B359" s="41">
        <v>384009</v>
      </c>
      <c r="C359" s="41">
        <v>31122</v>
      </c>
      <c r="D359" s="32" t="s">
        <v>186</v>
      </c>
      <c r="E359" s="42">
        <v>712505.49</v>
      </c>
      <c r="F359" s="42">
        <f>F353+E359</f>
        <v>2733874.29</v>
      </c>
      <c r="I359" s="3"/>
    </row>
    <row r="360" spans="1:9" ht="15.95" customHeight="1" x14ac:dyDescent="0.2">
      <c r="A360" s="41">
        <v>413870</v>
      </c>
      <c r="B360" s="41">
        <v>387028</v>
      </c>
      <c r="C360" s="41">
        <v>31019</v>
      </c>
      <c r="D360" s="32" t="s">
        <v>77</v>
      </c>
      <c r="E360" s="42">
        <v>-712505.49</v>
      </c>
      <c r="F360" s="42">
        <f>720258.19+E360</f>
        <v>7752.6999999999534</v>
      </c>
      <c r="I360" s="3"/>
    </row>
    <row r="361" spans="1:9" ht="15.95" customHeight="1" x14ac:dyDescent="0.2">
      <c r="A361" s="41">
        <v>413840</v>
      </c>
      <c r="B361" s="41">
        <v>384023</v>
      </c>
      <c r="C361" s="41">
        <v>31019</v>
      </c>
      <c r="D361" s="32" t="s">
        <v>185</v>
      </c>
      <c r="E361" s="42">
        <v>712505.49</v>
      </c>
      <c r="F361" s="42">
        <f>+E361</f>
        <v>712505.49</v>
      </c>
      <c r="I361" s="3"/>
    </row>
    <row r="362" spans="1:9" ht="15.95" customHeight="1" x14ac:dyDescent="0.2">
      <c r="A362" s="41">
        <v>413870</v>
      </c>
      <c r="B362" s="41">
        <v>387028</v>
      </c>
      <c r="C362" s="41">
        <v>30099</v>
      </c>
      <c r="D362" s="32" t="s">
        <v>77</v>
      </c>
      <c r="E362" s="42">
        <v>712505.49</v>
      </c>
      <c r="F362" s="42">
        <f>F356+E362</f>
        <v>5659867.7700000005</v>
      </c>
      <c r="I362" s="3"/>
    </row>
    <row r="363" spans="1:9" ht="15.95" customHeight="1" x14ac:dyDescent="0.2">
      <c r="A363" s="41">
        <v>41336</v>
      </c>
      <c r="B363" s="41">
        <v>590300</v>
      </c>
      <c r="C363" s="41">
        <v>30099</v>
      </c>
      <c r="D363" s="32" t="s">
        <v>18</v>
      </c>
      <c r="E363" s="42">
        <v>712505.49</v>
      </c>
      <c r="F363" s="42">
        <f>F357+E363</f>
        <v>6072842.7700000005</v>
      </c>
      <c r="I363" s="3"/>
    </row>
    <row r="364" spans="1:9" ht="15.95" customHeight="1" x14ac:dyDescent="0.2">
      <c r="A364" s="41">
        <v>413840</v>
      </c>
      <c r="B364" s="41">
        <v>384023</v>
      </c>
      <c r="C364" s="41">
        <v>31122</v>
      </c>
      <c r="D364" s="32" t="s">
        <v>185</v>
      </c>
      <c r="E364" s="42">
        <v>-405500</v>
      </c>
      <c r="F364" s="42">
        <f>F358+E364</f>
        <v>4960625.71</v>
      </c>
      <c r="I364" s="3"/>
    </row>
    <row r="365" spans="1:9" ht="15.95" customHeight="1" x14ac:dyDescent="0.2">
      <c r="A365" s="41">
        <v>413840</v>
      </c>
      <c r="B365" s="41">
        <v>384009</v>
      </c>
      <c r="C365" s="41">
        <v>31122</v>
      </c>
      <c r="D365" s="32" t="s">
        <v>186</v>
      </c>
      <c r="E365" s="42">
        <v>405500</v>
      </c>
      <c r="F365" s="42">
        <f>F359+E365</f>
        <v>3139374.29</v>
      </c>
      <c r="I365" s="3"/>
    </row>
    <row r="366" spans="1:9" ht="15.95" customHeight="1" x14ac:dyDescent="0.2">
      <c r="A366" s="41">
        <v>413870</v>
      </c>
      <c r="B366" s="41">
        <v>387028</v>
      </c>
      <c r="C366" s="41">
        <v>31024</v>
      </c>
      <c r="D366" s="32" t="s">
        <v>77</v>
      </c>
      <c r="E366" s="42">
        <v>-130000</v>
      </c>
      <c r="F366" s="42">
        <f>130000+E366</f>
        <v>0</v>
      </c>
      <c r="I366" s="3"/>
    </row>
    <row r="367" spans="1:9" ht="15.95" customHeight="1" x14ac:dyDescent="0.2">
      <c r="A367" s="41">
        <v>413840</v>
      </c>
      <c r="B367" s="41">
        <v>384009</v>
      </c>
      <c r="C367" s="41">
        <v>31024</v>
      </c>
      <c r="D367" s="32" t="s">
        <v>186</v>
      </c>
      <c r="E367" s="42">
        <v>-650000</v>
      </c>
      <c r="F367" s="42">
        <v>0</v>
      </c>
      <c r="I367" s="3"/>
    </row>
    <row r="368" spans="1:9" ht="15.95" customHeight="1" x14ac:dyDescent="0.2">
      <c r="A368" s="41">
        <v>413840</v>
      </c>
      <c r="B368" s="41">
        <v>384023</v>
      </c>
      <c r="C368" s="41">
        <v>31024</v>
      </c>
      <c r="D368" s="32" t="s">
        <v>185</v>
      </c>
      <c r="E368" s="42">
        <v>405500</v>
      </c>
      <c r="F368" s="42">
        <f>+E368</f>
        <v>405500</v>
      </c>
      <c r="I368" s="3"/>
    </row>
    <row r="369" spans="1:9" ht="15.95" customHeight="1" x14ac:dyDescent="0.2">
      <c r="A369" s="41">
        <v>41333</v>
      </c>
      <c r="B369" s="41">
        <v>563000</v>
      </c>
      <c r="C369" s="41">
        <v>31024</v>
      </c>
      <c r="D369" s="32" t="s">
        <v>96</v>
      </c>
      <c r="E369" s="42">
        <v>-374500</v>
      </c>
      <c r="F369" s="42">
        <f>374500+E369</f>
        <v>0</v>
      </c>
      <c r="I369" s="3"/>
    </row>
    <row r="370" spans="1:9" ht="15.95" customHeight="1" x14ac:dyDescent="0.2">
      <c r="A370" s="41">
        <v>413870</v>
      </c>
      <c r="B370" s="41">
        <v>387028</v>
      </c>
      <c r="C370" s="41">
        <v>30099</v>
      </c>
      <c r="D370" s="32" t="s">
        <v>77</v>
      </c>
      <c r="E370" s="42">
        <v>130000</v>
      </c>
      <c r="F370" s="42">
        <f>F362+E370</f>
        <v>5789867.7700000005</v>
      </c>
      <c r="I370" s="3"/>
    </row>
    <row r="371" spans="1:9" ht="15.95" customHeight="1" x14ac:dyDescent="0.2">
      <c r="A371" s="41">
        <v>41336</v>
      </c>
      <c r="B371" s="41">
        <v>590300</v>
      </c>
      <c r="C371" s="41">
        <v>30099</v>
      </c>
      <c r="D371" s="32" t="s">
        <v>18</v>
      </c>
      <c r="E371" s="42">
        <v>130000</v>
      </c>
      <c r="F371" s="42">
        <f>F363+E371</f>
        <v>6202842.7700000005</v>
      </c>
      <c r="I371" s="3"/>
    </row>
    <row r="372" spans="1:9" ht="15.95" customHeight="1" x14ac:dyDescent="0.2">
      <c r="A372" s="41">
        <v>413840</v>
      </c>
      <c r="B372" s="41">
        <v>384023</v>
      </c>
      <c r="C372" s="41">
        <v>31122</v>
      </c>
      <c r="D372" s="32" t="s">
        <v>185</v>
      </c>
      <c r="E372" s="42">
        <v>-329379.96999999997</v>
      </c>
      <c r="F372" s="42">
        <f>F364+E372</f>
        <v>4631245.74</v>
      </c>
      <c r="I372" s="3"/>
    </row>
    <row r="373" spans="1:9" ht="15.95" customHeight="1" x14ac:dyDescent="0.2">
      <c r="A373" s="24" t="s">
        <v>8</v>
      </c>
      <c r="B373" s="24"/>
      <c r="C373" s="24"/>
      <c r="D373" s="24"/>
      <c r="E373" s="10" t="s">
        <v>0</v>
      </c>
      <c r="F373" s="10" t="s">
        <v>1</v>
      </c>
    </row>
    <row r="374" spans="1:9" ht="15.95" customHeight="1" x14ac:dyDescent="0.2">
      <c r="A374" s="27"/>
      <c r="B374" s="27"/>
      <c r="C374" s="27"/>
      <c r="D374" s="27"/>
      <c r="E374" s="12" t="s">
        <v>2</v>
      </c>
      <c r="F374" s="12" t="s">
        <v>3</v>
      </c>
    </row>
    <row r="375" spans="1:9" ht="15.95" customHeight="1" x14ac:dyDescent="0.2">
      <c r="A375" s="30" t="s">
        <v>211</v>
      </c>
      <c r="D375" s="31"/>
      <c r="E375" s="45"/>
      <c r="F375" s="33"/>
      <c r="I375" s="3"/>
    </row>
    <row r="376" spans="1:9" ht="10.5" customHeight="1" x14ac:dyDescent="0.2">
      <c r="A376" s="18"/>
      <c r="D376" s="31"/>
      <c r="E376" s="45"/>
      <c r="F376" s="33"/>
      <c r="I376" s="3"/>
    </row>
    <row r="377" spans="1:9" ht="15.95" customHeight="1" x14ac:dyDescent="0.2">
      <c r="A377" s="41">
        <v>413840</v>
      </c>
      <c r="B377" s="41">
        <v>384009</v>
      </c>
      <c r="C377" s="41">
        <v>31122</v>
      </c>
      <c r="D377" s="32" t="s">
        <v>186</v>
      </c>
      <c r="E377" s="42">
        <v>329379.96999999997</v>
      </c>
      <c r="F377" s="42">
        <f>F365+E377</f>
        <v>3468754.26</v>
      </c>
      <c r="I377" s="3"/>
    </row>
    <row r="378" spans="1:9" ht="15.95" customHeight="1" x14ac:dyDescent="0.2">
      <c r="A378" s="41">
        <v>413870</v>
      </c>
      <c r="B378" s="41">
        <v>387028</v>
      </c>
      <c r="C378" s="41">
        <v>31124</v>
      </c>
      <c r="D378" s="32" t="s">
        <v>77</v>
      </c>
      <c r="E378" s="42">
        <v>-329379.96999999997</v>
      </c>
      <c r="F378" s="42">
        <f>447000+E378</f>
        <v>117620.03000000003</v>
      </c>
      <c r="I378" s="3"/>
    </row>
    <row r="379" spans="1:9" ht="15.95" customHeight="1" x14ac:dyDescent="0.2">
      <c r="A379" s="41">
        <v>413840</v>
      </c>
      <c r="B379" s="41">
        <v>384023</v>
      </c>
      <c r="C379" s="41">
        <v>31124</v>
      </c>
      <c r="D379" s="32" t="s">
        <v>185</v>
      </c>
      <c r="E379" s="42">
        <v>329379.96999999997</v>
      </c>
      <c r="F379" s="42">
        <f>+E379</f>
        <v>329379.96999999997</v>
      </c>
      <c r="I379" s="3"/>
    </row>
    <row r="380" spans="1:9" ht="15.95" customHeight="1" x14ac:dyDescent="0.2">
      <c r="A380" s="41">
        <v>413870</v>
      </c>
      <c r="B380" s="41">
        <v>387028</v>
      </c>
      <c r="C380" s="41">
        <v>30099</v>
      </c>
      <c r="D380" s="32" t="s">
        <v>77</v>
      </c>
      <c r="E380" s="42">
        <v>329379.96999999997</v>
      </c>
      <c r="F380" s="42">
        <f>F370+E380</f>
        <v>6119247.7400000002</v>
      </c>
      <c r="I380" s="3"/>
    </row>
    <row r="381" spans="1:9" ht="15.95" customHeight="1" x14ac:dyDescent="0.2">
      <c r="A381" s="41">
        <v>41336</v>
      </c>
      <c r="B381" s="41">
        <v>590300</v>
      </c>
      <c r="C381" s="41">
        <v>30099</v>
      </c>
      <c r="D381" s="32" t="s">
        <v>18</v>
      </c>
      <c r="E381" s="42">
        <v>329379.96999999997</v>
      </c>
      <c r="F381" s="42">
        <f>F371+E381</f>
        <v>6532222.7400000002</v>
      </c>
      <c r="I381" s="3"/>
    </row>
    <row r="382" spans="1:9" ht="15.95" customHeight="1" x14ac:dyDescent="0.2">
      <c r="A382" s="41">
        <v>413840</v>
      </c>
      <c r="B382" s="41">
        <v>384023</v>
      </c>
      <c r="C382" s="41">
        <v>31122</v>
      </c>
      <c r="D382" s="32" t="s">
        <v>185</v>
      </c>
      <c r="E382" s="42">
        <v>-468107.69</v>
      </c>
      <c r="F382" s="42">
        <f>F372+E382</f>
        <v>4163138.0500000003</v>
      </c>
      <c r="I382" s="3"/>
    </row>
    <row r="383" spans="1:9" ht="15.95" customHeight="1" x14ac:dyDescent="0.2">
      <c r="A383" s="41">
        <v>413840</v>
      </c>
      <c r="B383" s="41">
        <v>384009</v>
      </c>
      <c r="C383" s="41">
        <v>31122</v>
      </c>
      <c r="D383" s="32" t="s">
        <v>186</v>
      </c>
      <c r="E383" s="42">
        <v>468107.69</v>
      </c>
      <c r="F383" s="42">
        <f>F377+E383</f>
        <v>3936861.9499999997</v>
      </c>
      <c r="I383" s="3"/>
    </row>
    <row r="384" spans="1:9" ht="15.95" customHeight="1" x14ac:dyDescent="0.2">
      <c r="A384" s="41">
        <v>413870</v>
      </c>
      <c r="B384" s="41">
        <v>387028</v>
      </c>
      <c r="C384" s="41">
        <v>31217</v>
      </c>
      <c r="D384" s="32" t="s">
        <v>77</v>
      </c>
      <c r="E384" s="42">
        <v>-814840.1</v>
      </c>
      <c r="F384" s="42">
        <f>814840.1+E384</f>
        <v>0</v>
      </c>
      <c r="I384" s="3"/>
    </row>
    <row r="385" spans="1:9" ht="15.95" customHeight="1" x14ac:dyDescent="0.2">
      <c r="A385" s="41">
        <v>413840</v>
      </c>
      <c r="B385" s="41">
        <v>384023</v>
      </c>
      <c r="C385" s="41">
        <v>31217</v>
      </c>
      <c r="D385" s="32" t="s">
        <v>185</v>
      </c>
      <c r="E385" s="42">
        <v>468107.69</v>
      </c>
      <c r="F385" s="42">
        <f>E385</f>
        <v>468107.69</v>
      </c>
      <c r="I385" s="3"/>
    </row>
    <row r="386" spans="1:9" ht="15.95" customHeight="1" x14ac:dyDescent="0.2">
      <c r="A386" s="41">
        <v>41333</v>
      </c>
      <c r="B386" s="41">
        <v>563000</v>
      </c>
      <c r="C386" s="41">
        <v>31217</v>
      </c>
      <c r="D386" s="32" t="s">
        <v>96</v>
      </c>
      <c r="E386" s="42">
        <f>-85855-260823.43</f>
        <v>-346678.43</v>
      </c>
      <c r="F386" s="42">
        <f>2019369+E386</f>
        <v>1672690.57</v>
      </c>
      <c r="I386" s="3"/>
    </row>
    <row r="387" spans="1:9" ht="15.95" customHeight="1" x14ac:dyDescent="0.2">
      <c r="A387" s="41">
        <v>41333</v>
      </c>
      <c r="B387" s="41">
        <v>563010</v>
      </c>
      <c r="C387" s="41">
        <v>31217</v>
      </c>
      <c r="D387" s="32" t="s">
        <v>187</v>
      </c>
      <c r="E387" s="42">
        <v>-53.98</v>
      </c>
      <c r="F387" s="42">
        <f>549531+E387</f>
        <v>549477.02</v>
      </c>
      <c r="I387" s="3"/>
    </row>
    <row r="388" spans="1:9" ht="15.95" customHeight="1" x14ac:dyDescent="0.2">
      <c r="A388" s="41">
        <v>413870</v>
      </c>
      <c r="B388" s="41">
        <v>387028</v>
      </c>
      <c r="C388" s="41">
        <v>30099</v>
      </c>
      <c r="D388" s="32" t="s">
        <v>77</v>
      </c>
      <c r="E388" s="42">
        <v>346732.41</v>
      </c>
      <c r="F388" s="42">
        <f>F380+E388</f>
        <v>6465980.1500000004</v>
      </c>
      <c r="I388" s="3"/>
    </row>
    <row r="389" spans="1:9" ht="15.95" customHeight="1" x14ac:dyDescent="0.2">
      <c r="A389" s="41">
        <v>41336</v>
      </c>
      <c r="B389" s="41">
        <v>590300</v>
      </c>
      <c r="C389" s="41">
        <v>30099</v>
      </c>
      <c r="D389" s="32" t="s">
        <v>18</v>
      </c>
      <c r="E389" s="42">
        <v>346732.41</v>
      </c>
      <c r="F389" s="42">
        <f>F381+E389</f>
        <v>6878955.1500000004</v>
      </c>
      <c r="I389" s="3"/>
    </row>
    <row r="390" spans="1:9" ht="15.95" customHeight="1" x14ac:dyDescent="0.2">
      <c r="A390" s="41">
        <v>413840</v>
      </c>
      <c r="B390" s="41">
        <v>384023</v>
      </c>
      <c r="C390" s="41">
        <v>31122</v>
      </c>
      <c r="D390" s="32" t="s">
        <v>185</v>
      </c>
      <c r="E390" s="42">
        <v>-396536.45</v>
      </c>
      <c r="F390" s="42">
        <f>F382+E390</f>
        <v>3766601.6</v>
      </c>
      <c r="I390" s="3"/>
    </row>
    <row r="391" spans="1:9" ht="15.95" customHeight="1" x14ac:dyDescent="0.2">
      <c r="A391" s="41">
        <v>413840</v>
      </c>
      <c r="B391" s="41">
        <v>384009</v>
      </c>
      <c r="C391" s="41">
        <v>31122</v>
      </c>
      <c r="D391" s="32" t="s">
        <v>186</v>
      </c>
      <c r="E391" s="42">
        <v>396536.45</v>
      </c>
      <c r="F391" s="42">
        <f>F383+E391</f>
        <v>4333398.3999999994</v>
      </c>
      <c r="I391" s="3"/>
    </row>
    <row r="392" spans="1:9" ht="15.95" customHeight="1" x14ac:dyDescent="0.2">
      <c r="A392" s="41">
        <v>413870</v>
      </c>
      <c r="B392" s="41">
        <v>387028</v>
      </c>
      <c r="C392" s="41">
        <v>31319</v>
      </c>
      <c r="D392" s="32" t="s">
        <v>77</v>
      </c>
      <c r="E392" s="42">
        <v>-100000</v>
      </c>
      <c r="F392" s="42">
        <f>100000+E392</f>
        <v>0</v>
      </c>
      <c r="I392" s="3"/>
    </row>
    <row r="393" spans="1:9" ht="15.95" customHeight="1" x14ac:dyDescent="0.2">
      <c r="A393" s="41">
        <v>413840</v>
      </c>
      <c r="B393" s="41">
        <v>384009</v>
      </c>
      <c r="C393" s="41">
        <v>31319</v>
      </c>
      <c r="D393" s="32" t="s">
        <v>186</v>
      </c>
      <c r="E393" s="42">
        <v>-396536.45</v>
      </c>
      <c r="F393" s="42">
        <f>1150000+E393</f>
        <v>753463.55</v>
      </c>
      <c r="I393" s="3"/>
    </row>
    <row r="394" spans="1:9" ht="15.95" customHeight="1" x14ac:dyDescent="0.2">
      <c r="A394" s="41">
        <v>413840</v>
      </c>
      <c r="B394" s="41">
        <v>384023</v>
      </c>
      <c r="C394" s="41">
        <v>31319</v>
      </c>
      <c r="D394" s="32" t="s">
        <v>185</v>
      </c>
      <c r="E394" s="42">
        <v>396536.45</v>
      </c>
      <c r="F394" s="42">
        <f>+E394</f>
        <v>396536.45</v>
      </c>
      <c r="I394" s="3"/>
    </row>
    <row r="395" spans="1:9" ht="15.95" customHeight="1" x14ac:dyDescent="0.2">
      <c r="A395" s="41">
        <v>41333</v>
      </c>
      <c r="B395" s="41">
        <v>563010</v>
      </c>
      <c r="C395" s="41">
        <v>31319</v>
      </c>
      <c r="D395" s="32" t="s">
        <v>187</v>
      </c>
      <c r="E395" s="42">
        <v>-100000</v>
      </c>
      <c r="F395" s="42">
        <f>872283+E395</f>
        <v>772283</v>
      </c>
      <c r="I395" s="3"/>
    </row>
    <row r="396" spans="1:9" ht="15.95" customHeight="1" x14ac:dyDescent="0.2">
      <c r="A396" s="41">
        <v>413870</v>
      </c>
      <c r="B396" s="41">
        <v>387028</v>
      </c>
      <c r="C396" s="41">
        <v>30099</v>
      </c>
      <c r="D396" s="32" t="s">
        <v>77</v>
      </c>
      <c r="E396" s="42">
        <v>100000</v>
      </c>
      <c r="F396" s="42">
        <f>F388+E396</f>
        <v>6565980.1500000004</v>
      </c>
      <c r="I396" s="3"/>
    </row>
    <row r="397" spans="1:9" ht="15.95" customHeight="1" x14ac:dyDescent="0.2">
      <c r="A397" s="41">
        <v>41336</v>
      </c>
      <c r="B397" s="41">
        <v>590300</v>
      </c>
      <c r="C397" s="41">
        <v>30099</v>
      </c>
      <c r="D397" s="32" t="s">
        <v>18</v>
      </c>
      <c r="E397" s="42">
        <v>100000</v>
      </c>
      <c r="F397" s="42">
        <f>F389+E397</f>
        <v>6978955.1500000004</v>
      </c>
      <c r="I397" s="3"/>
    </row>
    <row r="398" spans="1:9" ht="15.95" customHeight="1" x14ac:dyDescent="0.2">
      <c r="A398" s="41">
        <v>413840</v>
      </c>
      <c r="B398" s="41">
        <v>384023</v>
      </c>
      <c r="C398" s="41">
        <v>31122</v>
      </c>
      <c r="D398" s="32" t="s">
        <v>185</v>
      </c>
      <c r="E398" s="42">
        <v>-693085</v>
      </c>
      <c r="F398" s="42">
        <f>F390+E398</f>
        <v>3073516.6</v>
      </c>
      <c r="I398" s="3"/>
    </row>
    <row r="399" spans="1:9" ht="15.95" customHeight="1" x14ac:dyDescent="0.2">
      <c r="A399" s="41">
        <v>413840</v>
      </c>
      <c r="B399" s="41">
        <v>384009</v>
      </c>
      <c r="C399" s="41">
        <v>31122</v>
      </c>
      <c r="D399" s="32" t="s">
        <v>186</v>
      </c>
      <c r="E399" s="42">
        <v>693085</v>
      </c>
      <c r="F399" s="42">
        <f>F391+E399</f>
        <v>5026483.3999999994</v>
      </c>
      <c r="I399" s="3"/>
    </row>
    <row r="400" spans="1:9" ht="15.95" customHeight="1" x14ac:dyDescent="0.2">
      <c r="A400" s="41">
        <v>413870</v>
      </c>
      <c r="B400" s="41">
        <v>384009</v>
      </c>
      <c r="C400" s="41">
        <v>31323</v>
      </c>
      <c r="D400" s="32" t="s">
        <v>186</v>
      </c>
      <c r="E400" s="42">
        <v>-693085</v>
      </c>
      <c r="F400" s="42">
        <f>4600000+E400</f>
        <v>3906915</v>
      </c>
      <c r="I400" s="3"/>
    </row>
    <row r="401" spans="1:9" ht="15.95" customHeight="1" x14ac:dyDescent="0.2">
      <c r="A401" s="41">
        <v>413840</v>
      </c>
      <c r="B401" s="41">
        <v>384023</v>
      </c>
      <c r="C401" s="41">
        <v>31323</v>
      </c>
      <c r="D401" s="32" t="s">
        <v>185</v>
      </c>
      <c r="E401" s="42">
        <v>693085</v>
      </c>
      <c r="F401" s="42">
        <f>+E401</f>
        <v>693085</v>
      </c>
      <c r="I401" s="3"/>
    </row>
    <row r="402" spans="1:9" ht="15.95" customHeight="1" x14ac:dyDescent="0.2">
      <c r="A402" s="41">
        <v>413840</v>
      </c>
      <c r="B402" s="41">
        <v>384023</v>
      </c>
      <c r="C402" s="41">
        <v>31122</v>
      </c>
      <c r="D402" s="32" t="s">
        <v>185</v>
      </c>
      <c r="E402" s="42">
        <v>-827093.17</v>
      </c>
      <c r="F402" s="42">
        <f>F398+E402</f>
        <v>2246423.4300000002</v>
      </c>
      <c r="I402" s="3"/>
    </row>
    <row r="403" spans="1:9" ht="15.95" customHeight="1" x14ac:dyDescent="0.2">
      <c r="A403" s="41">
        <v>413840</v>
      </c>
      <c r="B403" s="41">
        <v>384009</v>
      </c>
      <c r="C403" s="41">
        <v>31122</v>
      </c>
      <c r="D403" s="32" t="s">
        <v>186</v>
      </c>
      <c r="E403" s="42">
        <v>827093.17</v>
      </c>
      <c r="F403" s="42">
        <f>F399+E403</f>
        <v>5853576.5699999994</v>
      </c>
      <c r="I403" s="3"/>
    </row>
    <row r="404" spans="1:9" ht="15.95" customHeight="1" x14ac:dyDescent="0.2">
      <c r="A404" s="41">
        <v>413870</v>
      </c>
      <c r="B404" s="41">
        <v>387028</v>
      </c>
      <c r="C404" s="41">
        <v>32020</v>
      </c>
      <c r="D404" s="32" t="s">
        <v>77</v>
      </c>
      <c r="E404" s="42">
        <v>-827093.17</v>
      </c>
      <c r="F404" s="42">
        <f>886474.74+E404</f>
        <v>59381.569999999949</v>
      </c>
      <c r="I404" s="3"/>
    </row>
    <row r="405" spans="1:9" ht="15.95" customHeight="1" x14ac:dyDescent="0.2">
      <c r="A405" s="41">
        <v>413840</v>
      </c>
      <c r="B405" s="41">
        <v>384023</v>
      </c>
      <c r="C405" s="41">
        <v>32020</v>
      </c>
      <c r="D405" s="32" t="s">
        <v>185</v>
      </c>
      <c r="E405" s="42">
        <v>827093.17</v>
      </c>
      <c r="F405" s="42">
        <f>+E405</f>
        <v>827093.17</v>
      </c>
      <c r="I405" s="3"/>
    </row>
    <row r="406" spans="1:9" ht="15.95" customHeight="1" x14ac:dyDescent="0.2">
      <c r="A406" s="41">
        <v>413870</v>
      </c>
      <c r="B406" s="41">
        <v>387028</v>
      </c>
      <c r="C406" s="41">
        <v>30099</v>
      </c>
      <c r="D406" s="32" t="s">
        <v>77</v>
      </c>
      <c r="E406" s="42">
        <v>827093.17</v>
      </c>
      <c r="F406" s="42">
        <f>F396+E406</f>
        <v>7393073.3200000003</v>
      </c>
      <c r="I406" s="3"/>
    </row>
    <row r="407" spans="1:9" ht="15.95" customHeight="1" x14ac:dyDescent="0.2">
      <c r="A407" s="41">
        <v>41336</v>
      </c>
      <c r="B407" s="41">
        <v>590300</v>
      </c>
      <c r="C407" s="41">
        <v>30099</v>
      </c>
      <c r="D407" s="32" t="s">
        <v>18</v>
      </c>
      <c r="E407" s="42">
        <v>827093.17</v>
      </c>
      <c r="F407" s="42">
        <f>F397+E407</f>
        <v>7806048.3200000003</v>
      </c>
      <c r="I407" s="3"/>
    </row>
    <row r="408" spans="1:9" ht="15.95" customHeight="1" x14ac:dyDescent="0.2">
      <c r="A408" s="41">
        <v>413840</v>
      </c>
      <c r="B408" s="41">
        <v>384023</v>
      </c>
      <c r="C408" s="41">
        <v>31122</v>
      </c>
      <c r="D408" s="32" t="s">
        <v>185</v>
      </c>
      <c r="E408" s="42">
        <v>-899967.32</v>
      </c>
      <c r="F408" s="42">
        <f>F402+E408</f>
        <v>1346456.1100000003</v>
      </c>
      <c r="I408" s="3"/>
    </row>
    <row r="409" spans="1:9" ht="15.95" customHeight="1" x14ac:dyDescent="0.2">
      <c r="A409" s="41">
        <v>413840</v>
      </c>
      <c r="B409" s="41">
        <v>384009</v>
      </c>
      <c r="C409" s="41">
        <v>31122</v>
      </c>
      <c r="D409" s="32" t="s">
        <v>186</v>
      </c>
      <c r="E409" s="42">
        <v>899967.32</v>
      </c>
      <c r="F409" s="42">
        <f>F403+E409</f>
        <v>6753543.8899999997</v>
      </c>
      <c r="I409" s="3"/>
    </row>
    <row r="410" spans="1:9" ht="15.95" customHeight="1" x14ac:dyDescent="0.2">
      <c r="A410" s="41">
        <v>413870</v>
      </c>
      <c r="B410" s="41">
        <v>387028</v>
      </c>
      <c r="C410" s="41">
        <v>32024</v>
      </c>
      <c r="D410" s="32" t="s">
        <v>77</v>
      </c>
      <c r="E410" s="42">
        <v>-899967.32</v>
      </c>
      <c r="F410" s="42">
        <f>899967.32+E410</f>
        <v>0</v>
      </c>
      <c r="I410" s="3"/>
    </row>
    <row r="411" spans="1:9" ht="15.95" customHeight="1" x14ac:dyDescent="0.2">
      <c r="A411" s="41">
        <v>413840</v>
      </c>
      <c r="B411" s="41">
        <v>384023</v>
      </c>
      <c r="C411" s="41">
        <v>32024</v>
      </c>
      <c r="D411" s="32" t="s">
        <v>185</v>
      </c>
      <c r="E411" s="42">
        <v>899967.32</v>
      </c>
      <c r="F411" s="42">
        <f>+E411</f>
        <v>899967.32</v>
      </c>
      <c r="I411" s="3"/>
    </row>
    <row r="412" spans="1:9" ht="15.95" customHeight="1" x14ac:dyDescent="0.2">
      <c r="A412" s="41">
        <v>413870</v>
      </c>
      <c r="B412" s="41">
        <v>387028</v>
      </c>
      <c r="C412" s="41">
        <v>30099</v>
      </c>
      <c r="D412" s="32" t="s">
        <v>77</v>
      </c>
      <c r="E412" s="42">
        <v>899967.32</v>
      </c>
      <c r="F412" s="42">
        <f>F406+E412</f>
        <v>8293040.6400000006</v>
      </c>
      <c r="I412" s="3"/>
    </row>
    <row r="413" spans="1:9" ht="15.95" customHeight="1" x14ac:dyDescent="0.2">
      <c r="A413" s="41">
        <v>41336</v>
      </c>
      <c r="B413" s="41">
        <v>590300</v>
      </c>
      <c r="C413" s="41">
        <v>30099</v>
      </c>
      <c r="D413" s="32" t="s">
        <v>18</v>
      </c>
      <c r="E413" s="42">
        <v>899967.32</v>
      </c>
      <c r="F413" s="42">
        <f>F407+E413</f>
        <v>8706015.6400000006</v>
      </c>
      <c r="I413" s="3"/>
    </row>
    <row r="414" spans="1:9" ht="15.95" customHeight="1" x14ac:dyDescent="0.2">
      <c r="A414" s="41">
        <v>413840</v>
      </c>
      <c r="B414" s="41">
        <v>384023</v>
      </c>
      <c r="C414" s="41">
        <v>31122</v>
      </c>
      <c r="D414" s="32" t="s">
        <v>185</v>
      </c>
      <c r="E414" s="42">
        <v>-499852.75</v>
      </c>
      <c r="F414" s="42">
        <f>F408+E414</f>
        <v>846603.36000000034</v>
      </c>
      <c r="I414" s="3"/>
    </row>
    <row r="415" spans="1:9" ht="15.95" customHeight="1" x14ac:dyDescent="0.2">
      <c r="A415" s="41">
        <v>413840</v>
      </c>
      <c r="B415" s="41">
        <v>384009</v>
      </c>
      <c r="C415" s="41">
        <v>31122</v>
      </c>
      <c r="D415" s="32" t="s">
        <v>186</v>
      </c>
      <c r="E415" s="42">
        <v>499852.75</v>
      </c>
      <c r="F415" s="42">
        <f>F409+E415</f>
        <v>7253396.6399999997</v>
      </c>
      <c r="I415" s="3"/>
    </row>
    <row r="416" spans="1:9" ht="15.95" customHeight="1" x14ac:dyDescent="0.2">
      <c r="A416" s="41">
        <v>413870</v>
      </c>
      <c r="B416" s="41">
        <v>387028</v>
      </c>
      <c r="C416" s="41">
        <v>32025</v>
      </c>
      <c r="D416" s="32" t="s">
        <v>77</v>
      </c>
      <c r="E416" s="42">
        <v>-499852.75</v>
      </c>
      <c r="F416" s="42">
        <f>499852.75+E416</f>
        <v>0</v>
      </c>
      <c r="I416" s="3"/>
    </row>
    <row r="417" spans="1:9" ht="15.95" customHeight="1" x14ac:dyDescent="0.2">
      <c r="A417" s="41">
        <v>413840</v>
      </c>
      <c r="B417" s="41">
        <v>384023</v>
      </c>
      <c r="C417" s="41">
        <v>32025</v>
      </c>
      <c r="D417" s="32" t="s">
        <v>185</v>
      </c>
      <c r="E417" s="42">
        <v>499852.75</v>
      </c>
      <c r="F417" s="42">
        <f>+E417</f>
        <v>499852.75</v>
      </c>
      <c r="I417" s="3"/>
    </row>
    <row r="418" spans="1:9" ht="15.95" customHeight="1" x14ac:dyDescent="0.2">
      <c r="A418" s="41">
        <v>413870</v>
      </c>
      <c r="B418" s="41">
        <v>387028</v>
      </c>
      <c r="C418" s="41">
        <v>30099</v>
      </c>
      <c r="D418" s="32" t="s">
        <v>77</v>
      </c>
      <c r="E418" s="42">
        <v>499852.75</v>
      </c>
      <c r="F418" s="42">
        <f>F412+E418</f>
        <v>8792893.3900000006</v>
      </c>
      <c r="I418" s="3"/>
    </row>
    <row r="419" spans="1:9" ht="15.95" customHeight="1" x14ac:dyDescent="0.2">
      <c r="A419" s="24" t="s">
        <v>8</v>
      </c>
      <c r="B419" s="24"/>
      <c r="C419" s="24"/>
      <c r="D419" s="24"/>
      <c r="E419" s="10" t="s">
        <v>0</v>
      </c>
      <c r="F419" s="10" t="s">
        <v>1</v>
      </c>
    </row>
    <row r="420" spans="1:9" ht="15.95" customHeight="1" x14ac:dyDescent="0.2">
      <c r="A420" s="27"/>
      <c r="B420" s="27"/>
      <c r="C420" s="27"/>
      <c r="D420" s="27"/>
      <c r="E420" s="12" t="s">
        <v>2</v>
      </c>
      <c r="F420" s="12" t="s">
        <v>3</v>
      </c>
    </row>
    <row r="421" spans="1:9" ht="15.95" customHeight="1" x14ac:dyDescent="0.2">
      <c r="A421" s="30" t="s">
        <v>211</v>
      </c>
      <c r="D421" s="31"/>
      <c r="E421" s="45"/>
      <c r="F421" s="33"/>
      <c r="I421" s="3"/>
    </row>
    <row r="422" spans="1:9" ht="15.95" customHeight="1" x14ac:dyDescent="0.2">
      <c r="A422" s="41">
        <v>41336</v>
      </c>
      <c r="B422" s="41">
        <v>590300</v>
      </c>
      <c r="C422" s="41">
        <v>30099</v>
      </c>
      <c r="D422" s="32" t="s">
        <v>18</v>
      </c>
      <c r="E422" s="42">
        <v>499852.75</v>
      </c>
      <c r="F422" s="42">
        <f>F413+E422</f>
        <v>9205868.3900000006</v>
      </c>
      <c r="I422" s="3"/>
    </row>
    <row r="423" spans="1:9" ht="15.95" customHeight="1" x14ac:dyDescent="0.2">
      <c r="A423" s="41">
        <v>413840</v>
      </c>
      <c r="B423" s="41">
        <v>384023</v>
      </c>
      <c r="C423" s="41">
        <v>31122</v>
      </c>
      <c r="D423" s="32" t="s">
        <v>185</v>
      </c>
      <c r="E423" s="42">
        <v>-319643.36</v>
      </c>
      <c r="F423" s="42">
        <f>F414+E423</f>
        <v>526960.00000000035</v>
      </c>
      <c r="I423" s="3"/>
    </row>
    <row r="424" spans="1:9" ht="15.95" customHeight="1" x14ac:dyDescent="0.2">
      <c r="A424" s="41">
        <v>413840</v>
      </c>
      <c r="B424" s="41">
        <v>384009</v>
      </c>
      <c r="C424" s="41">
        <v>31122</v>
      </c>
      <c r="D424" s="32" t="s">
        <v>186</v>
      </c>
      <c r="E424" s="42">
        <v>319643.36</v>
      </c>
      <c r="F424" s="42">
        <f>F415+E424</f>
        <v>7573040</v>
      </c>
      <c r="I424" s="3"/>
    </row>
    <row r="425" spans="1:9" ht="15.95" customHeight="1" x14ac:dyDescent="0.2">
      <c r="A425" s="41">
        <v>413840</v>
      </c>
      <c r="B425" s="41">
        <v>384023</v>
      </c>
      <c r="C425" s="41">
        <v>30222</v>
      </c>
      <c r="D425" s="32" t="s">
        <v>185</v>
      </c>
      <c r="E425" s="42">
        <v>-2535364.3199999998</v>
      </c>
      <c r="F425" s="42">
        <f>3138171+E425</f>
        <v>602806.68000000017</v>
      </c>
      <c r="I425" s="3"/>
    </row>
    <row r="426" spans="1:9" ht="15.95" customHeight="1" x14ac:dyDescent="0.2">
      <c r="A426" s="41">
        <v>413840</v>
      </c>
      <c r="B426" s="41">
        <v>384009</v>
      </c>
      <c r="C426" s="41">
        <v>30222</v>
      </c>
      <c r="D426" s="32" t="s">
        <v>186</v>
      </c>
      <c r="E426" s="42">
        <v>2535364.3199999998</v>
      </c>
      <c r="F426" s="42">
        <f>5649959+E426</f>
        <v>8185323.3200000003</v>
      </c>
      <c r="I426" s="3"/>
    </row>
    <row r="427" spans="1:9" ht="15.95" customHeight="1" x14ac:dyDescent="0.2">
      <c r="A427" s="41">
        <v>413870</v>
      </c>
      <c r="B427" s="41">
        <v>387028</v>
      </c>
      <c r="C427" s="41">
        <v>32118</v>
      </c>
      <c r="D427" s="32" t="s">
        <v>77</v>
      </c>
      <c r="E427" s="42">
        <f>-319643.36-2535364.32</f>
        <v>-2855007.6799999997</v>
      </c>
      <c r="F427" s="42">
        <f>3000000+E427</f>
        <v>144992.3200000003</v>
      </c>
      <c r="I427" s="3"/>
    </row>
    <row r="428" spans="1:9" ht="15.95" customHeight="1" x14ac:dyDescent="0.2">
      <c r="A428" s="41">
        <v>413840</v>
      </c>
      <c r="B428" s="41">
        <v>384023</v>
      </c>
      <c r="C428" s="41">
        <v>32118</v>
      </c>
      <c r="D428" s="32" t="s">
        <v>185</v>
      </c>
      <c r="E428" s="42">
        <v>2855007.68</v>
      </c>
      <c r="F428" s="42">
        <f>+E428</f>
        <v>2855007.68</v>
      </c>
      <c r="I428" s="3"/>
    </row>
    <row r="429" spans="1:9" ht="15.95" customHeight="1" x14ac:dyDescent="0.2">
      <c r="A429" s="41">
        <v>413870</v>
      </c>
      <c r="B429" s="41">
        <v>387028</v>
      </c>
      <c r="C429" s="41">
        <v>30099</v>
      </c>
      <c r="D429" s="32" t="s">
        <v>77</v>
      </c>
      <c r="E429" s="42">
        <v>2855007.68</v>
      </c>
      <c r="F429" s="42">
        <f>F418+E429</f>
        <v>11647901.07</v>
      </c>
      <c r="I429" s="3"/>
    </row>
    <row r="430" spans="1:9" ht="15.95" customHeight="1" x14ac:dyDescent="0.2">
      <c r="A430" s="41">
        <v>41336</v>
      </c>
      <c r="B430" s="41">
        <v>590300</v>
      </c>
      <c r="C430" s="41">
        <v>30099</v>
      </c>
      <c r="D430" s="32" t="s">
        <v>18</v>
      </c>
      <c r="E430" s="42">
        <v>2855007.68</v>
      </c>
      <c r="F430" s="42">
        <f>F422+E430</f>
        <v>12060876.07</v>
      </c>
      <c r="I430" s="3"/>
    </row>
    <row r="431" spans="1:9" ht="15.95" customHeight="1" x14ac:dyDescent="0.2">
      <c r="A431" s="41">
        <v>413840</v>
      </c>
      <c r="B431" s="41">
        <v>384023</v>
      </c>
      <c r="C431" s="41">
        <v>30222</v>
      </c>
      <c r="D431" s="32" t="s">
        <v>185</v>
      </c>
      <c r="E431" s="42">
        <v>-17564.18</v>
      </c>
      <c r="F431" s="42">
        <f>F425+E431</f>
        <v>585242.50000000012</v>
      </c>
      <c r="I431" s="3"/>
    </row>
    <row r="432" spans="1:9" ht="15.95" customHeight="1" x14ac:dyDescent="0.2">
      <c r="A432" s="41">
        <v>413840</v>
      </c>
      <c r="B432" s="41">
        <v>384009</v>
      </c>
      <c r="C432" s="41">
        <v>30222</v>
      </c>
      <c r="D432" s="32" t="s">
        <v>186</v>
      </c>
      <c r="E432" s="42">
        <v>17564.18</v>
      </c>
      <c r="F432" s="42">
        <f>F426+E432</f>
        <v>8202887.5</v>
      </c>
      <c r="I432" s="3"/>
    </row>
    <row r="433" spans="1:9" ht="15.95" customHeight="1" x14ac:dyDescent="0.2">
      <c r="A433" s="41">
        <v>413840</v>
      </c>
      <c r="B433" s="41">
        <v>384023</v>
      </c>
      <c r="C433" s="41">
        <v>32423</v>
      </c>
      <c r="D433" s="32" t="s">
        <v>185</v>
      </c>
      <c r="E433" s="42">
        <v>-991695.35999999999</v>
      </c>
      <c r="F433" s="42">
        <f>2300000+E433</f>
        <v>1308304.6400000001</v>
      </c>
      <c r="I433" s="3"/>
    </row>
    <row r="434" spans="1:9" ht="15.95" customHeight="1" x14ac:dyDescent="0.2">
      <c r="A434" s="41">
        <v>413840</v>
      </c>
      <c r="B434" s="41">
        <v>384009</v>
      </c>
      <c r="C434" s="41">
        <v>32423</v>
      </c>
      <c r="D434" s="32" t="s">
        <v>186</v>
      </c>
      <c r="E434" s="42">
        <v>991695.35999999999</v>
      </c>
      <c r="F434" s="42">
        <f>2500000+E434</f>
        <v>3491695.36</v>
      </c>
      <c r="I434" s="3"/>
    </row>
    <row r="435" spans="1:9" ht="15.95" customHeight="1" x14ac:dyDescent="0.2">
      <c r="A435" s="41">
        <v>413870</v>
      </c>
      <c r="B435" s="41">
        <v>387028</v>
      </c>
      <c r="C435" s="41">
        <v>32120</v>
      </c>
      <c r="D435" s="32" t="s">
        <v>77</v>
      </c>
      <c r="E435" s="42">
        <v>-1009259.54</v>
      </c>
      <c r="F435" s="42">
        <f>3000000+E435</f>
        <v>1990740.46</v>
      </c>
      <c r="I435" s="3"/>
    </row>
    <row r="436" spans="1:9" ht="15.95" customHeight="1" x14ac:dyDescent="0.2">
      <c r="A436" s="41">
        <v>413840</v>
      </c>
      <c r="B436" s="41">
        <v>384023</v>
      </c>
      <c r="C436" s="41">
        <v>32120</v>
      </c>
      <c r="D436" s="32" t="s">
        <v>185</v>
      </c>
      <c r="E436" s="42">
        <v>1009259.54</v>
      </c>
      <c r="F436" s="42">
        <f>+E436</f>
        <v>1009259.54</v>
      </c>
      <c r="I436" s="3"/>
    </row>
    <row r="437" spans="1:9" ht="15.95" customHeight="1" x14ac:dyDescent="0.2">
      <c r="A437" s="41">
        <v>413870</v>
      </c>
      <c r="B437" s="41">
        <v>387028</v>
      </c>
      <c r="C437" s="41">
        <v>30099</v>
      </c>
      <c r="D437" s="32" t="s">
        <v>77</v>
      </c>
      <c r="E437" s="42">
        <v>1009254.54</v>
      </c>
      <c r="F437" s="42">
        <f>F429+E437</f>
        <v>12657155.609999999</v>
      </c>
      <c r="I437" s="3"/>
    </row>
    <row r="438" spans="1:9" ht="15.95" customHeight="1" x14ac:dyDescent="0.2">
      <c r="A438" s="41">
        <v>41336</v>
      </c>
      <c r="B438" s="41">
        <v>590300</v>
      </c>
      <c r="C438" s="41">
        <v>30099</v>
      </c>
      <c r="D438" s="32" t="s">
        <v>18</v>
      </c>
      <c r="E438" s="42">
        <v>1009254.54</v>
      </c>
      <c r="F438" s="42">
        <f>F430+E438</f>
        <v>13070130.609999999</v>
      </c>
      <c r="I438" s="3"/>
    </row>
    <row r="439" spans="1:9" ht="15.95" customHeight="1" x14ac:dyDescent="0.2">
      <c r="A439" s="41">
        <v>413840</v>
      </c>
      <c r="B439" s="41">
        <v>384023</v>
      </c>
      <c r="C439" s="41">
        <v>32423</v>
      </c>
      <c r="D439" s="32" t="s">
        <v>185</v>
      </c>
      <c r="E439" s="42">
        <v>-1078324.6399999999</v>
      </c>
      <c r="F439" s="42">
        <f>F433+E439</f>
        <v>229980.00000000023</v>
      </c>
      <c r="I439" s="3"/>
    </row>
    <row r="440" spans="1:9" ht="15.95" customHeight="1" x14ac:dyDescent="0.2">
      <c r="A440" s="41">
        <v>413840</v>
      </c>
      <c r="B440" s="41">
        <v>384009</v>
      </c>
      <c r="C440" s="41">
        <v>32423</v>
      </c>
      <c r="D440" s="32" t="s">
        <v>186</v>
      </c>
      <c r="E440" s="42">
        <v>1078324.6399999999</v>
      </c>
      <c r="F440" s="42">
        <f>F434+E440</f>
        <v>4570020</v>
      </c>
      <c r="I440" s="3"/>
    </row>
    <row r="441" spans="1:9" ht="15.95" customHeight="1" x14ac:dyDescent="0.2">
      <c r="A441" s="41">
        <v>413840</v>
      </c>
      <c r="B441" s="41">
        <v>384023</v>
      </c>
      <c r="C441" s="41">
        <v>31320</v>
      </c>
      <c r="D441" s="32" t="s">
        <v>185</v>
      </c>
      <c r="E441" s="42">
        <v>-427627.91</v>
      </c>
      <c r="F441" s="42">
        <f>F340+E441</f>
        <v>17973993.440000001</v>
      </c>
      <c r="I441" s="3"/>
    </row>
    <row r="442" spans="1:9" ht="15.95" customHeight="1" x14ac:dyDescent="0.2">
      <c r="A442" s="41">
        <v>413840</v>
      </c>
      <c r="B442" s="41">
        <v>384009</v>
      </c>
      <c r="C442" s="41">
        <v>31320</v>
      </c>
      <c r="D442" s="32" t="s">
        <v>186</v>
      </c>
      <c r="E442" s="42">
        <v>427627.91</v>
      </c>
      <c r="F442" s="42">
        <f>F341+E442</f>
        <v>479093.56</v>
      </c>
      <c r="I442" s="3"/>
    </row>
    <row r="443" spans="1:9" ht="15.95" customHeight="1" x14ac:dyDescent="0.2">
      <c r="A443" s="41">
        <v>413870</v>
      </c>
      <c r="B443" s="41">
        <v>387028</v>
      </c>
      <c r="C443" s="41">
        <v>32124</v>
      </c>
      <c r="D443" s="32" t="s">
        <v>77</v>
      </c>
      <c r="E443" s="42">
        <v>-1505952.55</v>
      </c>
      <c r="F443" s="42">
        <f>1505952.55+E443</f>
        <v>0</v>
      </c>
      <c r="I443" s="3"/>
    </row>
    <row r="444" spans="1:9" ht="15.95" customHeight="1" x14ac:dyDescent="0.2">
      <c r="A444" s="41">
        <v>413840</v>
      </c>
      <c r="B444" s="41">
        <v>384023</v>
      </c>
      <c r="C444" s="41">
        <v>32124</v>
      </c>
      <c r="D444" s="32" t="s">
        <v>185</v>
      </c>
      <c r="E444" s="42">
        <v>1505952.55</v>
      </c>
      <c r="F444" s="42">
        <f>+E444</f>
        <v>1505952.55</v>
      </c>
      <c r="I444" s="3"/>
    </row>
    <row r="445" spans="1:9" ht="15.95" customHeight="1" x14ac:dyDescent="0.2">
      <c r="A445" s="41">
        <v>413870</v>
      </c>
      <c r="B445" s="41">
        <v>387028</v>
      </c>
      <c r="C445" s="41">
        <v>30099</v>
      </c>
      <c r="D445" s="32" t="s">
        <v>77</v>
      </c>
      <c r="E445" s="42">
        <v>1505952.55</v>
      </c>
      <c r="F445" s="42">
        <f>F437+E445</f>
        <v>14163108.16</v>
      </c>
      <c r="I445" s="3"/>
    </row>
    <row r="446" spans="1:9" ht="15.95" customHeight="1" x14ac:dyDescent="0.2">
      <c r="A446" s="41">
        <v>41336</v>
      </c>
      <c r="B446" s="41">
        <v>590300</v>
      </c>
      <c r="C446" s="41">
        <v>30099</v>
      </c>
      <c r="D446" s="32" t="s">
        <v>18</v>
      </c>
      <c r="E446" s="42">
        <v>1505952.55</v>
      </c>
      <c r="F446" s="42">
        <f>F438+E446</f>
        <v>14576083.16</v>
      </c>
      <c r="I446" s="3"/>
    </row>
    <row r="447" spans="1:9" ht="15.95" customHeight="1" x14ac:dyDescent="0.2">
      <c r="A447" s="41">
        <v>413840</v>
      </c>
      <c r="B447" s="41">
        <v>384023</v>
      </c>
      <c r="C447" s="41">
        <v>31320</v>
      </c>
      <c r="D447" s="32" t="s">
        <v>185</v>
      </c>
      <c r="E447" s="42">
        <v>-742650.2</v>
      </c>
      <c r="F447" s="42">
        <f>F441+E447</f>
        <v>17231343.240000002</v>
      </c>
      <c r="I447" s="3"/>
    </row>
    <row r="448" spans="1:9" ht="15.95" customHeight="1" x14ac:dyDescent="0.2">
      <c r="A448" s="41">
        <v>413840</v>
      </c>
      <c r="B448" s="41">
        <v>384009</v>
      </c>
      <c r="C448" s="41">
        <v>31320</v>
      </c>
      <c r="D448" s="32" t="s">
        <v>186</v>
      </c>
      <c r="E448" s="42">
        <v>742650.2</v>
      </c>
      <c r="F448" s="42">
        <f>F442+E448</f>
        <v>1221743.76</v>
      </c>
      <c r="I448" s="3"/>
    </row>
    <row r="449" spans="1:9" ht="15.95" customHeight="1" x14ac:dyDescent="0.2">
      <c r="A449" s="41">
        <v>413870</v>
      </c>
      <c r="B449" s="41">
        <v>387028</v>
      </c>
      <c r="C449" s="41">
        <v>32125</v>
      </c>
      <c r="D449" s="32" t="s">
        <v>77</v>
      </c>
      <c r="E449" s="42">
        <v>-742650.2</v>
      </c>
      <c r="F449" s="42">
        <f>742650.2+E449</f>
        <v>0</v>
      </c>
      <c r="I449" s="3"/>
    </row>
    <row r="450" spans="1:9" ht="15.95" customHeight="1" x14ac:dyDescent="0.2">
      <c r="A450" s="41">
        <v>413840</v>
      </c>
      <c r="B450" s="41">
        <v>384023</v>
      </c>
      <c r="C450" s="41">
        <v>32125</v>
      </c>
      <c r="D450" s="32" t="s">
        <v>185</v>
      </c>
      <c r="E450" s="42">
        <v>742650.2</v>
      </c>
      <c r="F450" s="42">
        <f>+E450</f>
        <v>742650.2</v>
      </c>
      <c r="I450" s="3"/>
    </row>
    <row r="451" spans="1:9" ht="15.95" customHeight="1" x14ac:dyDescent="0.2">
      <c r="A451" s="41">
        <v>413870</v>
      </c>
      <c r="B451" s="41">
        <v>387028</v>
      </c>
      <c r="C451" s="41">
        <v>30099</v>
      </c>
      <c r="D451" s="32" t="s">
        <v>77</v>
      </c>
      <c r="E451" s="42">
        <v>742650.2</v>
      </c>
      <c r="F451" s="42">
        <f>F445+E451</f>
        <v>14905758.359999999</v>
      </c>
      <c r="I451" s="3"/>
    </row>
    <row r="452" spans="1:9" ht="15.95" customHeight="1" x14ac:dyDescent="0.2">
      <c r="A452" s="41">
        <v>41336</v>
      </c>
      <c r="B452" s="41">
        <v>590300</v>
      </c>
      <c r="C452" s="41">
        <v>30099</v>
      </c>
      <c r="D452" s="32" t="s">
        <v>18</v>
      </c>
      <c r="E452" s="42">
        <v>742650.2</v>
      </c>
      <c r="F452" s="42">
        <f>F446+E452</f>
        <v>15318733.359999999</v>
      </c>
      <c r="I452" s="3"/>
    </row>
    <row r="453" spans="1:9" ht="15.95" customHeight="1" x14ac:dyDescent="0.2">
      <c r="A453" s="41">
        <v>413840</v>
      </c>
      <c r="B453" s="41">
        <v>384023</v>
      </c>
      <c r="C453" s="41">
        <v>31320</v>
      </c>
      <c r="D453" s="32" t="s">
        <v>185</v>
      </c>
      <c r="E453" s="42">
        <v>-1000000</v>
      </c>
      <c r="F453" s="42">
        <f>F447+E453</f>
        <v>16231343.240000002</v>
      </c>
      <c r="I453" s="3"/>
    </row>
    <row r="454" spans="1:9" ht="15.95" customHeight="1" x14ac:dyDescent="0.2">
      <c r="A454" s="41">
        <v>413840</v>
      </c>
      <c r="B454" s="41">
        <v>384009</v>
      </c>
      <c r="C454" s="41">
        <v>31320</v>
      </c>
      <c r="D454" s="32" t="s">
        <v>186</v>
      </c>
      <c r="E454" s="42">
        <v>1000000</v>
      </c>
      <c r="F454" s="42">
        <f>F448+E454</f>
        <v>2221743.7599999998</v>
      </c>
      <c r="I454" s="3"/>
    </row>
    <row r="455" spans="1:9" ht="15.95" customHeight="1" x14ac:dyDescent="0.2">
      <c r="A455" s="41">
        <v>413870</v>
      </c>
      <c r="B455" s="41">
        <v>387028</v>
      </c>
      <c r="C455" s="41">
        <v>32126</v>
      </c>
      <c r="D455" s="32" t="s">
        <v>77</v>
      </c>
      <c r="E455" s="42">
        <v>-1000000</v>
      </c>
      <c r="F455" s="42">
        <f>1546635.35+E455</f>
        <v>546635.35000000009</v>
      </c>
      <c r="I455" s="3"/>
    </row>
    <row r="456" spans="1:9" ht="15.95" customHeight="1" x14ac:dyDescent="0.2">
      <c r="A456" s="41">
        <v>413840</v>
      </c>
      <c r="B456" s="41">
        <v>384023</v>
      </c>
      <c r="C456" s="41">
        <v>32126</v>
      </c>
      <c r="D456" s="32" t="s">
        <v>185</v>
      </c>
      <c r="E456" s="42">
        <v>1000000</v>
      </c>
      <c r="F456" s="42">
        <f>+E456</f>
        <v>1000000</v>
      </c>
      <c r="I456" s="3"/>
    </row>
    <row r="457" spans="1:9" ht="15.95" customHeight="1" x14ac:dyDescent="0.2">
      <c r="A457" s="41">
        <v>413870</v>
      </c>
      <c r="B457" s="41">
        <v>387028</v>
      </c>
      <c r="C457" s="41">
        <v>30099</v>
      </c>
      <c r="D457" s="32" t="s">
        <v>77</v>
      </c>
      <c r="E457" s="42">
        <v>1000000</v>
      </c>
      <c r="F457" s="42">
        <f>F451+E457</f>
        <v>15905758.359999999</v>
      </c>
      <c r="I457" s="3"/>
    </row>
    <row r="458" spans="1:9" ht="15.95" customHeight="1" x14ac:dyDescent="0.2">
      <c r="A458" s="41">
        <v>41336</v>
      </c>
      <c r="B458" s="41">
        <v>590300</v>
      </c>
      <c r="C458" s="41">
        <v>30099</v>
      </c>
      <c r="D458" s="32" t="s">
        <v>18</v>
      </c>
      <c r="E458" s="42">
        <v>1000000</v>
      </c>
      <c r="F458" s="42">
        <f>F452+E458</f>
        <v>16318733.359999999</v>
      </c>
      <c r="I458" s="3"/>
    </row>
    <row r="459" spans="1:9" ht="15.95" customHeight="1" x14ac:dyDescent="0.2">
      <c r="A459" s="41">
        <v>413840</v>
      </c>
      <c r="B459" s="41">
        <v>384023</v>
      </c>
      <c r="C459" s="41">
        <v>31320</v>
      </c>
      <c r="D459" s="32" t="s">
        <v>185</v>
      </c>
      <c r="E459" s="42">
        <v>-432197.5</v>
      </c>
      <c r="F459" s="42">
        <f>F453+E459</f>
        <v>15799145.740000002</v>
      </c>
      <c r="I459" s="3"/>
    </row>
    <row r="460" spans="1:9" ht="15.95" customHeight="1" x14ac:dyDescent="0.2">
      <c r="A460" s="41">
        <v>413840</v>
      </c>
      <c r="B460" s="41">
        <v>384009</v>
      </c>
      <c r="C460" s="41">
        <v>31320</v>
      </c>
      <c r="D460" s="32" t="s">
        <v>186</v>
      </c>
      <c r="E460" s="42">
        <v>432197.5</v>
      </c>
      <c r="F460" s="42">
        <f>F454+E460</f>
        <v>2653941.2599999998</v>
      </c>
      <c r="I460" s="3"/>
    </row>
    <row r="461" spans="1:9" ht="15.95" customHeight="1" x14ac:dyDescent="0.2">
      <c r="A461" s="41">
        <v>413870</v>
      </c>
      <c r="B461" s="41">
        <v>387028</v>
      </c>
      <c r="C461" s="41">
        <v>32224</v>
      </c>
      <c r="D461" s="32" t="s">
        <v>77</v>
      </c>
      <c r="E461" s="42">
        <v>-432197.5</v>
      </c>
      <c r="F461" s="42">
        <f>1546635.35+E461</f>
        <v>1114437.8500000001</v>
      </c>
      <c r="I461" s="3"/>
    </row>
    <row r="462" spans="1:9" ht="15.95" customHeight="1" x14ac:dyDescent="0.2">
      <c r="A462" s="41">
        <v>413840</v>
      </c>
      <c r="B462" s="41">
        <v>384023</v>
      </c>
      <c r="C462" s="41">
        <v>32224</v>
      </c>
      <c r="D462" s="32" t="s">
        <v>185</v>
      </c>
      <c r="E462" s="42">
        <v>432197.5</v>
      </c>
      <c r="F462" s="42">
        <f>+E462</f>
        <v>432197.5</v>
      </c>
      <c r="I462" s="3"/>
    </row>
    <row r="463" spans="1:9" ht="15.95" customHeight="1" x14ac:dyDescent="0.2">
      <c r="A463" s="41">
        <v>413870</v>
      </c>
      <c r="B463" s="41">
        <v>387028</v>
      </c>
      <c r="C463" s="41">
        <v>30099</v>
      </c>
      <c r="D463" s="32" t="s">
        <v>77</v>
      </c>
      <c r="E463" s="42">
        <v>432197.5</v>
      </c>
      <c r="F463" s="42">
        <f>F457+E463</f>
        <v>16337955.859999999</v>
      </c>
      <c r="I463" s="3"/>
    </row>
    <row r="464" spans="1:9" ht="15.95" customHeight="1" x14ac:dyDescent="0.2">
      <c r="A464" s="41">
        <v>41336</v>
      </c>
      <c r="B464" s="41">
        <v>590300</v>
      </c>
      <c r="C464" s="41">
        <v>30099</v>
      </c>
      <c r="D464" s="32" t="s">
        <v>18</v>
      </c>
      <c r="E464" s="42">
        <v>432197.5</v>
      </c>
      <c r="F464" s="42">
        <f>F458+E464</f>
        <v>16750930.859999999</v>
      </c>
      <c r="I464" s="3"/>
    </row>
    <row r="465" spans="1:9" ht="15.95" customHeight="1" x14ac:dyDescent="0.2">
      <c r="A465" s="41">
        <v>413840</v>
      </c>
      <c r="B465" s="41">
        <v>384023</v>
      </c>
      <c r="C465" s="41">
        <v>31320</v>
      </c>
      <c r="D465" s="32" t="s">
        <v>185</v>
      </c>
      <c r="E465" s="42">
        <v>-499175.25</v>
      </c>
      <c r="F465" s="42">
        <f>F459+E465</f>
        <v>15299970.490000002</v>
      </c>
      <c r="I465" s="3"/>
    </row>
    <row r="466" spans="1:9" ht="15.95" customHeight="1" x14ac:dyDescent="0.2">
      <c r="A466" s="41">
        <v>413840</v>
      </c>
      <c r="B466" s="41">
        <v>384009</v>
      </c>
      <c r="C466" s="41">
        <v>31320</v>
      </c>
      <c r="D466" s="32" t="s">
        <v>186</v>
      </c>
      <c r="E466" s="42">
        <v>499175.25</v>
      </c>
      <c r="F466" s="42">
        <f>F460+E466</f>
        <v>3153116.51</v>
      </c>
      <c r="I466" s="3"/>
    </row>
    <row r="467" spans="1:9" ht="15.95" customHeight="1" x14ac:dyDescent="0.2">
      <c r="A467" s="24" t="s">
        <v>8</v>
      </c>
      <c r="B467" s="24"/>
      <c r="C467" s="24"/>
      <c r="D467" s="24"/>
      <c r="E467" s="10" t="s">
        <v>0</v>
      </c>
      <c r="F467" s="10" t="s">
        <v>1</v>
      </c>
    </row>
    <row r="468" spans="1:9" ht="15.95" customHeight="1" x14ac:dyDescent="0.2">
      <c r="A468" s="27"/>
      <c r="B468" s="27"/>
      <c r="C468" s="27"/>
      <c r="D468" s="27"/>
      <c r="E468" s="12" t="s">
        <v>2</v>
      </c>
      <c r="F468" s="12" t="s">
        <v>3</v>
      </c>
    </row>
    <row r="469" spans="1:9" ht="15.95" customHeight="1" x14ac:dyDescent="0.2">
      <c r="A469" s="30" t="s">
        <v>211</v>
      </c>
      <c r="D469" s="31"/>
      <c r="E469" s="45"/>
      <c r="F469" s="33"/>
      <c r="I469" s="3"/>
    </row>
    <row r="470" spans="1:9" ht="15.95" customHeight="1" x14ac:dyDescent="0.2">
      <c r="A470" s="41">
        <v>413870</v>
      </c>
      <c r="B470" s="41">
        <v>387028</v>
      </c>
      <c r="C470" s="41">
        <v>32225</v>
      </c>
      <c r="D470" s="32" t="s">
        <v>77</v>
      </c>
      <c r="E470" s="42">
        <v>-499175.25</v>
      </c>
      <c r="F470" s="42">
        <f>499175.25+E470</f>
        <v>0</v>
      </c>
      <c r="I470" s="3"/>
    </row>
    <row r="471" spans="1:9" ht="15.95" customHeight="1" x14ac:dyDescent="0.2">
      <c r="A471" s="41">
        <v>413840</v>
      </c>
      <c r="B471" s="41">
        <v>384023</v>
      </c>
      <c r="C471" s="41">
        <v>32225</v>
      </c>
      <c r="D471" s="32" t="s">
        <v>185</v>
      </c>
      <c r="E471" s="42">
        <v>499175.25</v>
      </c>
      <c r="F471" s="42">
        <f>+E471</f>
        <v>499175.25</v>
      </c>
      <c r="I471" s="3"/>
    </row>
    <row r="472" spans="1:9" ht="15.95" customHeight="1" x14ac:dyDescent="0.2">
      <c r="A472" s="41">
        <v>413870</v>
      </c>
      <c r="B472" s="41">
        <v>387028</v>
      </c>
      <c r="C472" s="41">
        <v>30099</v>
      </c>
      <c r="D472" s="32" t="s">
        <v>77</v>
      </c>
      <c r="E472" s="42">
        <v>499175.25</v>
      </c>
      <c r="F472" s="42">
        <f>F463+E472</f>
        <v>16837131.109999999</v>
      </c>
      <c r="I472" s="3"/>
    </row>
    <row r="473" spans="1:9" ht="15.95" customHeight="1" x14ac:dyDescent="0.2">
      <c r="A473" s="41">
        <v>41336</v>
      </c>
      <c r="B473" s="41">
        <v>590300</v>
      </c>
      <c r="C473" s="41">
        <v>30099</v>
      </c>
      <c r="D473" s="32" t="s">
        <v>18</v>
      </c>
      <c r="E473" s="42">
        <v>499175.25</v>
      </c>
      <c r="F473" s="42">
        <f>F464+E473</f>
        <v>17250106.109999999</v>
      </c>
      <c r="I473" s="3"/>
    </row>
    <row r="474" spans="1:9" ht="15.95" customHeight="1" x14ac:dyDescent="0.2">
      <c r="A474" s="41">
        <v>413840</v>
      </c>
      <c r="B474" s="41">
        <v>384023</v>
      </c>
      <c r="C474" s="41">
        <v>31320</v>
      </c>
      <c r="D474" s="32" t="s">
        <v>185</v>
      </c>
      <c r="E474" s="42">
        <v>-174765.47</v>
      </c>
      <c r="F474" s="42">
        <f>F465+E474</f>
        <v>15125205.020000001</v>
      </c>
      <c r="I474" s="3"/>
    </row>
    <row r="475" spans="1:9" ht="15.95" customHeight="1" x14ac:dyDescent="0.2">
      <c r="A475" s="41">
        <v>413840</v>
      </c>
      <c r="B475" s="41">
        <v>384009</v>
      </c>
      <c r="C475" s="41">
        <v>31320</v>
      </c>
      <c r="D475" s="32" t="s">
        <v>186</v>
      </c>
      <c r="E475" s="42">
        <v>174765.47</v>
      </c>
      <c r="F475" s="42">
        <f>F466+E475</f>
        <v>3327881.98</v>
      </c>
      <c r="I475" s="3"/>
    </row>
    <row r="476" spans="1:9" ht="15.95" customHeight="1" x14ac:dyDescent="0.2">
      <c r="A476" s="41">
        <v>413840</v>
      </c>
      <c r="B476" s="41">
        <v>384009</v>
      </c>
      <c r="C476" s="41">
        <v>32320</v>
      </c>
      <c r="D476" s="32" t="s">
        <v>186</v>
      </c>
      <c r="E476" s="42">
        <v>-174765.47</v>
      </c>
      <c r="F476" s="42">
        <f>9000000+E476</f>
        <v>8825234.5299999993</v>
      </c>
      <c r="I476" s="3"/>
    </row>
    <row r="477" spans="1:9" ht="15.95" customHeight="1" x14ac:dyDescent="0.2">
      <c r="A477" s="41">
        <v>413840</v>
      </c>
      <c r="B477" s="41">
        <v>384023</v>
      </c>
      <c r="C477" s="41">
        <v>32320</v>
      </c>
      <c r="D477" s="32" t="s">
        <v>185</v>
      </c>
      <c r="E477" s="42">
        <v>174765.47</v>
      </c>
      <c r="F477" s="42">
        <f>4948376+E477</f>
        <v>5123141.47</v>
      </c>
      <c r="I477" s="3"/>
    </row>
    <row r="478" spans="1:9" ht="15.95" customHeight="1" x14ac:dyDescent="0.2">
      <c r="A478" s="41">
        <v>413840</v>
      </c>
      <c r="B478" s="41">
        <v>384023</v>
      </c>
      <c r="C478" s="41">
        <v>31320</v>
      </c>
      <c r="D478" s="32" t="s">
        <v>185</v>
      </c>
      <c r="E478" s="42">
        <v>-78475.539999999994</v>
      </c>
      <c r="F478" s="42">
        <f>F474+E478</f>
        <v>15046729.480000002</v>
      </c>
      <c r="I478" s="3"/>
    </row>
    <row r="479" spans="1:9" ht="15.95" customHeight="1" x14ac:dyDescent="0.2">
      <c r="A479" s="41">
        <v>413840</v>
      </c>
      <c r="B479" s="41">
        <v>384009</v>
      </c>
      <c r="C479" s="41">
        <v>31320</v>
      </c>
      <c r="D479" s="32" t="s">
        <v>186</v>
      </c>
      <c r="E479" s="42">
        <v>78475.539999999994</v>
      </c>
      <c r="F479" s="42">
        <f>F475+E479</f>
        <v>3406357.52</v>
      </c>
      <c r="I479" s="3"/>
    </row>
    <row r="480" spans="1:9" ht="15.75" customHeight="1" x14ac:dyDescent="0.2">
      <c r="A480" s="41">
        <v>413870</v>
      </c>
      <c r="B480" s="41">
        <v>387028</v>
      </c>
      <c r="C480" s="41">
        <v>32322</v>
      </c>
      <c r="D480" s="32" t="s">
        <v>77</v>
      </c>
      <c r="E480" s="42">
        <v>-78475.539999999994</v>
      </c>
      <c r="F480" s="42">
        <f>78475.54+E480</f>
        <v>0</v>
      </c>
      <c r="I480" s="3"/>
    </row>
    <row r="481" spans="1:9" ht="15.95" customHeight="1" x14ac:dyDescent="0.2">
      <c r="A481" s="41">
        <v>413840</v>
      </c>
      <c r="B481" s="41">
        <v>384023</v>
      </c>
      <c r="C481" s="41">
        <v>32322</v>
      </c>
      <c r="D481" s="32" t="s">
        <v>185</v>
      </c>
      <c r="E481" s="42">
        <v>78475.539999999994</v>
      </c>
      <c r="F481" s="42">
        <f>+E481</f>
        <v>78475.539999999994</v>
      </c>
      <c r="I481" s="3"/>
    </row>
    <row r="482" spans="1:9" ht="15.95" customHeight="1" x14ac:dyDescent="0.2">
      <c r="A482" s="41">
        <v>413870</v>
      </c>
      <c r="B482" s="41">
        <v>387028</v>
      </c>
      <c r="C482" s="41">
        <v>30099</v>
      </c>
      <c r="D482" s="32" t="s">
        <v>77</v>
      </c>
      <c r="E482" s="42">
        <v>78475.539999999994</v>
      </c>
      <c r="F482" s="42">
        <f>F472+E482</f>
        <v>16915606.649999999</v>
      </c>
      <c r="I482" s="3"/>
    </row>
    <row r="483" spans="1:9" ht="15.95" customHeight="1" x14ac:dyDescent="0.2">
      <c r="A483" s="41">
        <v>41336</v>
      </c>
      <c r="B483" s="41">
        <v>590300</v>
      </c>
      <c r="C483" s="41">
        <v>30099</v>
      </c>
      <c r="D483" s="32" t="s">
        <v>18</v>
      </c>
      <c r="E483" s="42">
        <v>78475.539999999994</v>
      </c>
      <c r="F483" s="42">
        <f>F473+E483</f>
        <v>17328581.649999999</v>
      </c>
      <c r="I483" s="3"/>
    </row>
    <row r="484" spans="1:9" ht="15.95" customHeight="1" x14ac:dyDescent="0.2">
      <c r="A484" s="41">
        <v>413840</v>
      </c>
      <c r="B484" s="41">
        <v>384023</v>
      </c>
      <c r="C484" s="41">
        <v>31320</v>
      </c>
      <c r="D484" s="32" t="s">
        <v>185</v>
      </c>
      <c r="E484" s="42">
        <v>-1230000</v>
      </c>
      <c r="F484" s="42">
        <f>F478+E484</f>
        <v>13816729.480000002</v>
      </c>
      <c r="I484" s="3"/>
    </row>
    <row r="485" spans="1:9" ht="15.95" customHeight="1" x14ac:dyDescent="0.2">
      <c r="A485" s="41">
        <v>413840</v>
      </c>
      <c r="B485" s="41">
        <v>384009</v>
      </c>
      <c r="C485" s="41">
        <v>31320</v>
      </c>
      <c r="D485" s="32" t="s">
        <v>186</v>
      </c>
      <c r="E485" s="42">
        <v>1230000</v>
      </c>
      <c r="F485" s="42">
        <f>F479+E485</f>
        <v>4636357.5199999996</v>
      </c>
      <c r="I485" s="3"/>
    </row>
    <row r="486" spans="1:9" ht="15.95" customHeight="1" x14ac:dyDescent="0.2">
      <c r="A486" s="41">
        <v>413870</v>
      </c>
      <c r="B486" s="41">
        <v>387028</v>
      </c>
      <c r="C486" s="41">
        <v>33724</v>
      </c>
      <c r="D486" s="32" t="s">
        <v>77</v>
      </c>
      <c r="E486" s="42">
        <v>-1230000</v>
      </c>
      <c r="F486" s="42">
        <f>1230000+E486</f>
        <v>0</v>
      </c>
      <c r="I486" s="3"/>
    </row>
    <row r="487" spans="1:9" ht="15.95" customHeight="1" x14ac:dyDescent="0.2">
      <c r="A487" s="41">
        <v>413840</v>
      </c>
      <c r="B487" s="41">
        <v>384023</v>
      </c>
      <c r="C487" s="41">
        <v>33724</v>
      </c>
      <c r="D487" s="32" t="s">
        <v>185</v>
      </c>
      <c r="E487" s="42">
        <v>1230000</v>
      </c>
      <c r="F487" s="42">
        <f>+E487</f>
        <v>1230000</v>
      </c>
      <c r="I487" s="3"/>
    </row>
    <row r="488" spans="1:9" ht="15.95" customHeight="1" x14ac:dyDescent="0.2">
      <c r="A488" s="41">
        <v>413870</v>
      </c>
      <c r="B488" s="41">
        <v>387028</v>
      </c>
      <c r="C488" s="41">
        <v>30099</v>
      </c>
      <c r="D488" s="32" t="s">
        <v>77</v>
      </c>
      <c r="E488" s="42">
        <v>1230000</v>
      </c>
      <c r="F488" s="42">
        <f>F482+E488</f>
        <v>18145606.649999999</v>
      </c>
      <c r="I488" s="3"/>
    </row>
    <row r="489" spans="1:9" ht="15.95" customHeight="1" x14ac:dyDescent="0.2">
      <c r="A489" s="41">
        <v>41336</v>
      </c>
      <c r="B489" s="41">
        <v>590300</v>
      </c>
      <c r="C489" s="41">
        <v>30099</v>
      </c>
      <c r="D489" s="32" t="s">
        <v>18</v>
      </c>
      <c r="E489" s="42">
        <v>1230000</v>
      </c>
      <c r="F489" s="42">
        <f>F483+E489</f>
        <v>18558581.649999999</v>
      </c>
      <c r="I489" s="3"/>
    </row>
    <row r="490" spans="1:9" ht="15.95" customHeight="1" x14ac:dyDescent="0.2">
      <c r="A490" s="41">
        <v>413840</v>
      </c>
      <c r="B490" s="41">
        <v>384023</v>
      </c>
      <c r="C490" s="41">
        <v>31320</v>
      </c>
      <c r="D490" s="32" t="s">
        <v>185</v>
      </c>
      <c r="E490" s="42">
        <v>-426375</v>
      </c>
      <c r="F490" s="42">
        <f>F484+E490</f>
        <v>13390354.480000002</v>
      </c>
      <c r="I490" s="3"/>
    </row>
    <row r="491" spans="1:9" ht="15.95" customHeight="1" x14ac:dyDescent="0.2">
      <c r="A491" s="41">
        <v>413840</v>
      </c>
      <c r="B491" s="41">
        <v>384009</v>
      </c>
      <c r="C491" s="41">
        <v>31320</v>
      </c>
      <c r="D491" s="32" t="s">
        <v>186</v>
      </c>
      <c r="E491" s="42">
        <v>426375</v>
      </c>
      <c r="F491" s="42">
        <f>F485+E491</f>
        <v>5062732.5199999996</v>
      </c>
      <c r="I491" s="3"/>
    </row>
    <row r="492" spans="1:9" ht="15.95" customHeight="1" x14ac:dyDescent="0.2">
      <c r="A492" s="41">
        <v>413870</v>
      </c>
      <c r="B492" s="41">
        <v>387028</v>
      </c>
      <c r="C492" s="41">
        <v>35224</v>
      </c>
      <c r="D492" s="32" t="s">
        <v>77</v>
      </c>
      <c r="E492" s="42">
        <v>-426375</v>
      </c>
      <c r="F492" s="42">
        <f>426375+113625+E492</f>
        <v>113625</v>
      </c>
      <c r="I492" s="3"/>
    </row>
    <row r="493" spans="1:9" ht="15.95" customHeight="1" x14ac:dyDescent="0.2">
      <c r="A493" s="41">
        <v>413840</v>
      </c>
      <c r="B493" s="41">
        <v>384023</v>
      </c>
      <c r="C493" s="41">
        <v>35224</v>
      </c>
      <c r="D493" s="32" t="s">
        <v>185</v>
      </c>
      <c r="E493" s="42">
        <v>426375</v>
      </c>
      <c r="F493" s="42">
        <f>+E493</f>
        <v>426375</v>
      </c>
      <c r="I493" s="3"/>
    </row>
    <row r="494" spans="1:9" ht="15.95" customHeight="1" x14ac:dyDescent="0.2">
      <c r="A494" s="41">
        <v>413870</v>
      </c>
      <c r="B494" s="41">
        <v>387028</v>
      </c>
      <c r="C494" s="41">
        <v>30099</v>
      </c>
      <c r="D494" s="32" t="s">
        <v>77</v>
      </c>
      <c r="E494" s="42">
        <v>426375</v>
      </c>
      <c r="F494" s="42">
        <f>F488+E494</f>
        <v>18571981.649999999</v>
      </c>
      <c r="I494" s="3"/>
    </row>
    <row r="495" spans="1:9" ht="15.95" customHeight="1" x14ac:dyDescent="0.2">
      <c r="A495" s="41">
        <v>41336</v>
      </c>
      <c r="B495" s="41">
        <v>590300</v>
      </c>
      <c r="C495" s="41">
        <v>30099</v>
      </c>
      <c r="D495" s="32" t="s">
        <v>18</v>
      </c>
      <c r="E495" s="42">
        <v>426375</v>
      </c>
      <c r="F495" s="42">
        <f>F489+E495</f>
        <v>18984956.649999999</v>
      </c>
      <c r="I495" s="3"/>
    </row>
    <row r="496" spans="1:9" ht="15.95" customHeight="1" x14ac:dyDescent="0.2">
      <c r="A496" s="41">
        <v>413840</v>
      </c>
      <c r="B496" s="41">
        <v>384023</v>
      </c>
      <c r="C496" s="41">
        <v>31320</v>
      </c>
      <c r="D496" s="32" t="s">
        <v>185</v>
      </c>
      <c r="E496" s="42">
        <v>-109000</v>
      </c>
      <c r="F496" s="42">
        <f>F490+E496</f>
        <v>13281354.480000002</v>
      </c>
      <c r="I496" s="3"/>
    </row>
    <row r="497" spans="1:9" ht="15.95" customHeight="1" x14ac:dyDescent="0.2">
      <c r="A497" s="41">
        <v>413840</v>
      </c>
      <c r="B497" s="41">
        <v>384009</v>
      </c>
      <c r="C497" s="41">
        <v>31320</v>
      </c>
      <c r="D497" s="32" t="s">
        <v>186</v>
      </c>
      <c r="E497" s="42">
        <v>109000</v>
      </c>
      <c r="F497" s="42">
        <f>F491+E497</f>
        <v>5171732.5199999996</v>
      </c>
      <c r="I497" s="3"/>
    </row>
    <row r="498" spans="1:9" ht="15.95" customHeight="1" x14ac:dyDescent="0.2">
      <c r="A498" s="41">
        <v>413870</v>
      </c>
      <c r="B498" s="41">
        <v>387028</v>
      </c>
      <c r="C498" s="41">
        <v>31423</v>
      </c>
      <c r="D498" s="32" t="s">
        <v>77</v>
      </c>
      <c r="E498" s="42">
        <v>-109000</v>
      </c>
      <c r="F498" s="42">
        <f>426375+113625+E498</f>
        <v>431000</v>
      </c>
      <c r="I498" s="3"/>
    </row>
    <row r="499" spans="1:9" ht="15.95" customHeight="1" x14ac:dyDescent="0.2">
      <c r="A499" s="41">
        <v>413840</v>
      </c>
      <c r="B499" s="41">
        <v>384023</v>
      </c>
      <c r="C499" s="41">
        <v>31423</v>
      </c>
      <c r="D499" s="32" t="s">
        <v>185</v>
      </c>
      <c r="E499" s="42">
        <v>109000</v>
      </c>
      <c r="F499" s="42">
        <f>+E499</f>
        <v>109000</v>
      </c>
      <c r="I499" s="3"/>
    </row>
    <row r="500" spans="1:9" ht="15.95" customHeight="1" x14ac:dyDescent="0.2">
      <c r="A500" s="41">
        <v>413870</v>
      </c>
      <c r="B500" s="41">
        <v>387028</v>
      </c>
      <c r="C500" s="41">
        <v>30099</v>
      </c>
      <c r="D500" s="32" t="s">
        <v>77</v>
      </c>
      <c r="E500" s="42">
        <v>109000</v>
      </c>
      <c r="F500" s="42">
        <f>F494+E500</f>
        <v>18680981.649999999</v>
      </c>
      <c r="I500" s="3"/>
    </row>
    <row r="501" spans="1:9" ht="15.95" customHeight="1" x14ac:dyDescent="0.2">
      <c r="A501" s="41">
        <v>41336</v>
      </c>
      <c r="B501" s="41">
        <v>590300</v>
      </c>
      <c r="C501" s="41">
        <v>30099</v>
      </c>
      <c r="D501" s="32" t="s">
        <v>18</v>
      </c>
      <c r="E501" s="42">
        <v>109000</v>
      </c>
      <c r="F501" s="42">
        <f>F495+E501</f>
        <v>19093956.649999999</v>
      </c>
      <c r="I501" s="3"/>
    </row>
    <row r="502" spans="1:9" ht="15.95" customHeight="1" x14ac:dyDescent="0.2">
      <c r="A502" s="41">
        <v>413840</v>
      </c>
      <c r="B502" s="41">
        <v>384023</v>
      </c>
      <c r="C502" s="41">
        <v>31320</v>
      </c>
      <c r="D502" s="32" t="s">
        <v>185</v>
      </c>
      <c r="E502" s="42">
        <v>-1238635.18</v>
      </c>
      <c r="F502" s="42">
        <f>F496+E502</f>
        <v>12042719.300000003</v>
      </c>
      <c r="I502" s="3"/>
    </row>
    <row r="503" spans="1:9" ht="15.95" customHeight="1" x14ac:dyDescent="0.2">
      <c r="A503" s="41">
        <v>413840</v>
      </c>
      <c r="B503" s="41">
        <v>384009</v>
      </c>
      <c r="C503" s="41">
        <v>31320</v>
      </c>
      <c r="D503" s="32" t="s">
        <v>186</v>
      </c>
      <c r="E503" s="42">
        <v>1238635.18</v>
      </c>
      <c r="F503" s="42">
        <f>F497+E503</f>
        <v>6410367.6999999993</v>
      </c>
      <c r="I503" s="3"/>
    </row>
    <row r="504" spans="1:9" ht="15.95" customHeight="1" x14ac:dyDescent="0.2">
      <c r="A504" s="41">
        <v>413870</v>
      </c>
      <c r="B504" s="41">
        <v>387028</v>
      </c>
      <c r="C504" s="41">
        <v>32726</v>
      </c>
      <c r="D504" s="32" t="s">
        <v>77</v>
      </c>
      <c r="E504" s="42">
        <v>-1238635.18</v>
      </c>
      <c r="F504" s="42">
        <f>1241000+E504</f>
        <v>2364.8200000000652</v>
      </c>
      <c r="I504" s="3"/>
    </row>
    <row r="505" spans="1:9" ht="15.95" customHeight="1" x14ac:dyDescent="0.2">
      <c r="A505" s="41">
        <v>413840</v>
      </c>
      <c r="B505" s="41">
        <v>384023</v>
      </c>
      <c r="C505" s="41">
        <v>32726</v>
      </c>
      <c r="D505" s="32" t="s">
        <v>185</v>
      </c>
      <c r="E505" s="42">
        <v>1238635.18</v>
      </c>
      <c r="F505" s="42">
        <f>+E505</f>
        <v>1238635.18</v>
      </c>
      <c r="I505" s="3"/>
    </row>
    <row r="506" spans="1:9" ht="15.95" customHeight="1" x14ac:dyDescent="0.2">
      <c r="A506" s="41">
        <v>413870</v>
      </c>
      <c r="B506" s="41">
        <v>387028</v>
      </c>
      <c r="C506" s="41">
        <v>30099</v>
      </c>
      <c r="D506" s="32" t="s">
        <v>77</v>
      </c>
      <c r="E506" s="42">
        <v>1238635.18</v>
      </c>
      <c r="F506" s="42">
        <f>F500+E506</f>
        <v>19919616.829999998</v>
      </c>
      <c r="I506" s="3"/>
    </row>
    <row r="507" spans="1:9" ht="15.95" customHeight="1" x14ac:dyDescent="0.2">
      <c r="A507" s="41">
        <v>41336</v>
      </c>
      <c r="B507" s="41">
        <v>590300</v>
      </c>
      <c r="C507" s="41">
        <v>30099</v>
      </c>
      <c r="D507" s="32" t="s">
        <v>18</v>
      </c>
      <c r="E507" s="42">
        <v>1238635.18</v>
      </c>
      <c r="F507" s="42">
        <f>F501+E507</f>
        <v>20332591.829999998</v>
      </c>
      <c r="I507" s="3"/>
    </row>
    <row r="508" spans="1:9" ht="15.95" customHeight="1" x14ac:dyDescent="0.2">
      <c r="A508" s="41">
        <v>413840</v>
      </c>
      <c r="B508" s="41">
        <v>384023</v>
      </c>
      <c r="C508" s="41">
        <v>31320</v>
      </c>
      <c r="D508" s="32" t="s">
        <v>185</v>
      </c>
      <c r="E508" s="42">
        <v>-444300</v>
      </c>
      <c r="F508" s="42">
        <f>F502+E508</f>
        <v>11598419.300000003</v>
      </c>
      <c r="I508" s="3"/>
    </row>
    <row r="509" spans="1:9" ht="15.95" customHeight="1" x14ac:dyDescent="0.2">
      <c r="A509" s="41">
        <v>413840</v>
      </c>
      <c r="B509" s="41">
        <v>384009</v>
      </c>
      <c r="C509" s="41">
        <v>31320</v>
      </c>
      <c r="D509" s="32" t="s">
        <v>186</v>
      </c>
      <c r="E509" s="42">
        <v>444300</v>
      </c>
      <c r="F509" s="42">
        <f>F503+E509</f>
        <v>6854667.6999999993</v>
      </c>
      <c r="I509" s="3"/>
    </row>
    <row r="510" spans="1:9" ht="15.95" customHeight="1" x14ac:dyDescent="0.2">
      <c r="A510" s="41">
        <v>413870</v>
      </c>
      <c r="B510" s="41">
        <v>387028</v>
      </c>
      <c r="C510" s="41">
        <v>32226</v>
      </c>
      <c r="D510" s="32" t="s">
        <v>77</v>
      </c>
      <c r="E510" s="42">
        <v>-444300</v>
      </c>
      <c r="F510" s="42">
        <f>996849.75+E510</f>
        <v>552549.75</v>
      </c>
      <c r="I510" s="3"/>
    </row>
    <row r="511" spans="1:9" ht="15.95" customHeight="1" x14ac:dyDescent="0.2">
      <c r="A511" s="41">
        <v>413840</v>
      </c>
      <c r="B511" s="41">
        <v>384023</v>
      </c>
      <c r="C511" s="41">
        <v>32226</v>
      </c>
      <c r="D511" s="32" t="s">
        <v>185</v>
      </c>
      <c r="E511" s="42">
        <v>444300</v>
      </c>
      <c r="F511" s="42">
        <f>+E511</f>
        <v>444300</v>
      </c>
      <c r="I511" s="3"/>
    </row>
    <row r="512" spans="1:9" ht="15.95" customHeight="1" x14ac:dyDescent="0.2">
      <c r="A512" s="41">
        <v>413870</v>
      </c>
      <c r="B512" s="41">
        <v>387028</v>
      </c>
      <c r="C512" s="41">
        <v>30099</v>
      </c>
      <c r="D512" s="32" t="s">
        <v>77</v>
      </c>
      <c r="E512" s="42">
        <v>444300</v>
      </c>
      <c r="F512" s="42">
        <f>F506+E512</f>
        <v>20363916.829999998</v>
      </c>
      <c r="I512" s="3"/>
    </row>
    <row r="513" spans="1:9" ht="15.95" customHeight="1" x14ac:dyDescent="0.2">
      <c r="A513" s="41">
        <v>41336</v>
      </c>
      <c r="B513" s="41">
        <v>590300</v>
      </c>
      <c r="C513" s="41">
        <v>30099</v>
      </c>
      <c r="D513" s="32" t="s">
        <v>18</v>
      </c>
      <c r="E513" s="42">
        <v>444300</v>
      </c>
      <c r="F513" s="42">
        <f>F507+E513</f>
        <v>20776891.829999998</v>
      </c>
      <c r="I513" s="3"/>
    </row>
    <row r="514" spans="1:9" ht="15.95" customHeight="1" x14ac:dyDescent="0.2">
      <c r="A514" s="41">
        <v>413840</v>
      </c>
      <c r="B514" s="41">
        <v>384023</v>
      </c>
      <c r="C514" s="41">
        <v>31320</v>
      </c>
      <c r="D514" s="32" t="s">
        <v>185</v>
      </c>
      <c r="E514" s="42">
        <v>-858742.87</v>
      </c>
      <c r="F514" s="42">
        <f>F508+E514</f>
        <v>10739676.430000003</v>
      </c>
      <c r="I514" s="3"/>
    </row>
    <row r="515" spans="1:9" ht="15.95" customHeight="1" x14ac:dyDescent="0.2">
      <c r="A515" s="24" t="s">
        <v>8</v>
      </c>
      <c r="B515" s="24"/>
      <c r="C515" s="24"/>
      <c r="D515" s="24"/>
      <c r="E515" s="10" t="s">
        <v>0</v>
      </c>
      <c r="F515" s="10" t="s">
        <v>1</v>
      </c>
    </row>
    <row r="516" spans="1:9" ht="15.95" customHeight="1" x14ac:dyDescent="0.2">
      <c r="A516" s="27"/>
      <c r="B516" s="27"/>
      <c r="C516" s="27"/>
      <c r="D516" s="27"/>
      <c r="E516" s="12" t="s">
        <v>2</v>
      </c>
      <c r="F516" s="12" t="s">
        <v>3</v>
      </c>
    </row>
    <row r="517" spans="1:9" ht="15.95" customHeight="1" x14ac:dyDescent="0.2">
      <c r="A517" s="30" t="s">
        <v>211</v>
      </c>
      <c r="D517" s="31"/>
      <c r="E517" s="45"/>
      <c r="F517" s="33"/>
      <c r="I517" s="3"/>
    </row>
    <row r="518" spans="1:9" ht="15.95" customHeight="1" x14ac:dyDescent="0.2">
      <c r="A518" s="41">
        <v>413840</v>
      </c>
      <c r="B518" s="41">
        <v>384009</v>
      </c>
      <c r="C518" s="41">
        <v>31320</v>
      </c>
      <c r="D518" s="32" t="s">
        <v>186</v>
      </c>
      <c r="E518" s="42">
        <v>858742.87</v>
      </c>
      <c r="F518" s="42">
        <f>F509+E518</f>
        <v>7713410.5699999994</v>
      </c>
      <c r="I518" s="3"/>
    </row>
    <row r="519" spans="1:9" ht="15.95" customHeight="1" x14ac:dyDescent="0.2">
      <c r="A519" s="41">
        <v>413870</v>
      </c>
      <c r="B519" s="41">
        <v>387028</v>
      </c>
      <c r="C519" s="41">
        <v>32026</v>
      </c>
      <c r="D519" s="32" t="s">
        <v>77</v>
      </c>
      <c r="E519" s="42">
        <v>-858742.87</v>
      </c>
      <c r="F519" s="42">
        <f>1171009.72+E519</f>
        <v>312266.84999999998</v>
      </c>
      <c r="I519" s="3"/>
    </row>
    <row r="520" spans="1:9" ht="15.95" customHeight="1" x14ac:dyDescent="0.2">
      <c r="A520" s="41">
        <v>413840</v>
      </c>
      <c r="B520" s="41">
        <v>384023</v>
      </c>
      <c r="C520" s="41">
        <v>32026</v>
      </c>
      <c r="D520" s="32" t="s">
        <v>185</v>
      </c>
      <c r="E520" s="42">
        <v>858742.87</v>
      </c>
      <c r="F520" s="42">
        <f>+E520</f>
        <v>858742.87</v>
      </c>
      <c r="I520" s="3"/>
    </row>
    <row r="521" spans="1:9" ht="15.95" customHeight="1" x14ac:dyDescent="0.2">
      <c r="A521" s="41">
        <v>413870</v>
      </c>
      <c r="B521" s="41">
        <v>387028</v>
      </c>
      <c r="C521" s="41">
        <v>30099</v>
      </c>
      <c r="D521" s="32" t="s">
        <v>77</v>
      </c>
      <c r="E521" s="42">
        <v>858742.87</v>
      </c>
      <c r="F521" s="42">
        <f>F512+E521</f>
        <v>21222659.699999999</v>
      </c>
      <c r="I521" s="3"/>
    </row>
    <row r="522" spans="1:9" ht="15.95" customHeight="1" x14ac:dyDescent="0.2">
      <c r="A522" s="41">
        <v>41336</v>
      </c>
      <c r="B522" s="41">
        <v>590300</v>
      </c>
      <c r="C522" s="41">
        <v>30099</v>
      </c>
      <c r="D522" s="32" t="s">
        <v>18</v>
      </c>
      <c r="E522" s="42">
        <v>858742.87</v>
      </c>
      <c r="F522" s="42">
        <f>F513+E522</f>
        <v>21635634.699999999</v>
      </c>
      <c r="I522" s="3"/>
    </row>
    <row r="523" spans="1:9" ht="15.95" customHeight="1" x14ac:dyDescent="0.2">
      <c r="A523" s="41">
        <v>413840</v>
      </c>
      <c r="B523" s="41">
        <v>384023</v>
      </c>
      <c r="C523" s="41">
        <v>31320</v>
      </c>
      <c r="D523" s="32" t="s">
        <v>185</v>
      </c>
      <c r="E523" s="42">
        <v>-275180</v>
      </c>
      <c r="F523" s="42">
        <f>F514+E523</f>
        <v>10464496.430000003</v>
      </c>
      <c r="I523" s="3"/>
    </row>
    <row r="524" spans="1:9" ht="15.95" customHeight="1" x14ac:dyDescent="0.2">
      <c r="A524" s="41">
        <v>413840</v>
      </c>
      <c r="B524" s="41">
        <v>384009</v>
      </c>
      <c r="C524" s="41">
        <v>31320</v>
      </c>
      <c r="D524" s="32" t="s">
        <v>186</v>
      </c>
      <c r="E524" s="42">
        <v>275180</v>
      </c>
      <c r="F524" s="42">
        <f>F518+E524</f>
        <v>7988590.5699999994</v>
      </c>
      <c r="I524" s="3"/>
    </row>
    <row r="525" spans="1:9" ht="15.95" customHeight="1" x14ac:dyDescent="0.2">
      <c r="A525" s="41">
        <v>413870</v>
      </c>
      <c r="B525" s="41">
        <v>387028</v>
      </c>
      <c r="C525" s="41">
        <v>30026</v>
      </c>
      <c r="D525" s="32" t="s">
        <v>77</v>
      </c>
      <c r="E525" s="42">
        <v>-275180</v>
      </c>
      <c r="F525" s="42">
        <f>1000000+E525</f>
        <v>724820</v>
      </c>
      <c r="I525" s="3"/>
    </row>
    <row r="526" spans="1:9" ht="15.95" customHeight="1" x14ac:dyDescent="0.2">
      <c r="A526" s="41">
        <v>413840</v>
      </c>
      <c r="B526" s="41">
        <v>384023</v>
      </c>
      <c r="C526" s="41">
        <v>30026</v>
      </c>
      <c r="D526" s="32" t="s">
        <v>185</v>
      </c>
      <c r="E526" s="42">
        <v>275180</v>
      </c>
      <c r="F526" s="42">
        <f>+E526</f>
        <v>275180</v>
      </c>
      <c r="I526" s="3"/>
    </row>
    <row r="527" spans="1:9" ht="15.95" customHeight="1" x14ac:dyDescent="0.2">
      <c r="A527" s="41">
        <v>413870</v>
      </c>
      <c r="B527" s="41">
        <v>387028</v>
      </c>
      <c r="C527" s="41">
        <v>30099</v>
      </c>
      <c r="D527" s="32" t="s">
        <v>77</v>
      </c>
      <c r="E527" s="42">
        <v>275180</v>
      </c>
      <c r="F527" s="42">
        <f>F521+E527</f>
        <v>21497839.699999999</v>
      </c>
    </row>
    <row r="528" spans="1:9" ht="15.95" customHeight="1" x14ac:dyDescent="0.2">
      <c r="A528" s="41">
        <v>41336</v>
      </c>
      <c r="B528" s="41">
        <v>590300</v>
      </c>
      <c r="C528" s="41">
        <v>30099</v>
      </c>
      <c r="D528" s="32" t="s">
        <v>18</v>
      </c>
      <c r="E528" s="42">
        <v>275180</v>
      </c>
      <c r="F528" s="42">
        <f>F522+E528</f>
        <v>21910814.699999999</v>
      </c>
    </row>
    <row r="529" spans="1:6" ht="15.95" customHeight="1" x14ac:dyDescent="0.2">
      <c r="A529" s="41">
        <v>413840</v>
      </c>
      <c r="B529" s="41">
        <v>384023</v>
      </c>
      <c r="C529" s="41">
        <v>31320</v>
      </c>
      <c r="D529" s="32" t="s">
        <v>185</v>
      </c>
      <c r="E529" s="42">
        <v>-179462.23</v>
      </c>
      <c r="F529" s="42">
        <f>F523+E529</f>
        <v>10285034.200000003</v>
      </c>
    </row>
    <row r="530" spans="1:6" ht="15.95" customHeight="1" x14ac:dyDescent="0.2">
      <c r="A530" s="41">
        <v>413840</v>
      </c>
      <c r="B530" s="41">
        <v>384009</v>
      </c>
      <c r="C530" s="41">
        <v>31320</v>
      </c>
      <c r="D530" s="32" t="s">
        <v>186</v>
      </c>
      <c r="E530" s="42">
        <v>179462.23</v>
      </c>
      <c r="F530" s="42">
        <f>F524+E530</f>
        <v>8168052.7999999998</v>
      </c>
    </row>
    <row r="531" spans="1:6" ht="15.95" customHeight="1" x14ac:dyDescent="0.2">
      <c r="A531" s="41">
        <v>413840</v>
      </c>
      <c r="B531" s="41">
        <v>384023</v>
      </c>
      <c r="C531" s="41">
        <v>33516</v>
      </c>
      <c r="D531" s="32" t="s">
        <v>185</v>
      </c>
      <c r="E531" s="42">
        <v>179462.23</v>
      </c>
      <c r="F531" s="42">
        <f>E531</f>
        <v>179462.23</v>
      </c>
    </row>
    <row r="532" spans="1:6" ht="15.95" customHeight="1" x14ac:dyDescent="0.2">
      <c r="A532" s="41">
        <v>41335</v>
      </c>
      <c r="B532" s="41">
        <v>563010</v>
      </c>
      <c r="C532" s="41">
        <v>33516</v>
      </c>
      <c r="D532" s="32" t="s">
        <v>187</v>
      </c>
      <c r="E532" s="52">
        <v>179462.23</v>
      </c>
      <c r="F532" s="52">
        <f>2543900+E532</f>
        <v>2723362.23</v>
      </c>
    </row>
    <row r="533" spans="1:6" ht="15.95" customHeight="1" x14ac:dyDescent="0.2">
      <c r="A533" s="41">
        <v>413870</v>
      </c>
      <c r="B533" s="41">
        <v>387029</v>
      </c>
      <c r="C533" s="41">
        <v>30099</v>
      </c>
      <c r="D533" s="32" t="s">
        <v>212</v>
      </c>
      <c r="E533" s="42">
        <v>-412975</v>
      </c>
      <c r="F533" s="52">
        <v>0</v>
      </c>
    </row>
    <row r="534" spans="1:6" ht="15.95" customHeight="1" x14ac:dyDescent="0.2">
      <c r="A534" s="41">
        <v>41336</v>
      </c>
      <c r="B534" s="41">
        <v>590300</v>
      </c>
      <c r="C534" s="41">
        <v>30099</v>
      </c>
      <c r="D534" s="32" t="s">
        <v>18</v>
      </c>
      <c r="E534" s="42">
        <v>-412975</v>
      </c>
      <c r="F534" s="52"/>
    </row>
    <row r="535" spans="1:6" ht="15.95" customHeight="1" x14ac:dyDescent="0.2">
      <c r="A535" s="41">
        <v>413870</v>
      </c>
      <c r="B535" s="41">
        <v>387029</v>
      </c>
      <c r="C535" s="41">
        <v>39126</v>
      </c>
      <c r="D535" s="32" t="s">
        <v>212</v>
      </c>
      <c r="E535" s="42">
        <v>412975</v>
      </c>
      <c r="F535" s="52">
        <v>412975</v>
      </c>
    </row>
    <row r="536" spans="1:6" ht="15.95" customHeight="1" x14ac:dyDescent="0.2">
      <c r="A536" s="41">
        <v>41336</v>
      </c>
      <c r="B536" s="41">
        <v>593023</v>
      </c>
      <c r="C536" s="41">
        <v>39126</v>
      </c>
      <c r="D536" s="32" t="s">
        <v>213</v>
      </c>
      <c r="E536" s="43">
        <v>412975</v>
      </c>
      <c r="F536" s="52">
        <v>412975</v>
      </c>
    </row>
    <row r="537" spans="1:6" ht="15.95" customHeight="1" x14ac:dyDescent="0.2">
      <c r="A537" s="53"/>
      <c r="B537" s="53"/>
      <c r="C537" s="53"/>
      <c r="D537" s="50" t="s">
        <v>4</v>
      </c>
      <c r="E537" s="20">
        <v>0</v>
      </c>
      <c r="F537" s="43"/>
    </row>
    <row r="538" spans="1:6" ht="15.95" customHeight="1" x14ac:dyDescent="0.2">
      <c r="A538" s="23" t="s">
        <v>12</v>
      </c>
      <c r="B538" s="14"/>
      <c r="C538" s="14"/>
      <c r="D538" s="15"/>
    </row>
    <row r="539" spans="1:6" ht="15.95" customHeight="1" x14ac:dyDescent="0.2">
      <c r="A539" s="23"/>
      <c r="B539" s="14"/>
      <c r="C539" s="14"/>
      <c r="D539" s="15"/>
    </row>
    <row r="540" spans="1:6" ht="15.95" customHeight="1" x14ac:dyDescent="0.2">
      <c r="A540" s="30" t="s">
        <v>91</v>
      </c>
      <c r="D540" s="31"/>
      <c r="E540" s="45"/>
      <c r="F540" s="33"/>
    </row>
    <row r="541" spans="1:6" ht="15.95" customHeight="1" x14ac:dyDescent="0.2">
      <c r="A541" s="18"/>
      <c r="D541" s="31"/>
      <c r="E541" s="45"/>
      <c r="F541" s="33"/>
    </row>
    <row r="542" spans="1:6" ht="15.95" customHeight="1" x14ac:dyDescent="0.2">
      <c r="A542" s="19" t="s">
        <v>6</v>
      </c>
      <c r="D542" s="31"/>
      <c r="E542" s="45"/>
    </row>
    <row r="543" spans="1:6" ht="15.95" customHeight="1" x14ac:dyDescent="0.2">
      <c r="A543" s="4" t="s">
        <v>92</v>
      </c>
      <c r="B543" s="4" t="s">
        <v>51</v>
      </c>
      <c r="C543" s="4" t="s">
        <v>93</v>
      </c>
      <c r="D543" s="32" t="s">
        <v>94</v>
      </c>
      <c r="E543" s="20">
        <v>12226</v>
      </c>
      <c r="F543" s="16">
        <f>460896+E543</f>
        <v>473122</v>
      </c>
    </row>
    <row r="544" spans="1:6" ht="15.95" customHeight="1" x14ac:dyDescent="0.2">
      <c r="A544" s="7"/>
      <c r="B544" s="7"/>
      <c r="C544" s="7"/>
      <c r="D544" s="15" t="s">
        <v>4</v>
      </c>
      <c r="E544" s="16">
        <f>SUBTOTAL(9,E543)</f>
        <v>12226</v>
      </c>
    </row>
    <row r="545" spans="1:6" ht="15.95" customHeight="1" x14ac:dyDescent="0.2">
      <c r="A545" s="19" t="s">
        <v>9</v>
      </c>
    </row>
    <row r="546" spans="1:6" ht="15.95" customHeight="1" x14ac:dyDescent="0.2">
      <c r="A546" s="4" t="s">
        <v>95</v>
      </c>
      <c r="B546" s="4" t="s">
        <v>16</v>
      </c>
      <c r="C546" s="4" t="s">
        <v>93</v>
      </c>
      <c r="D546" s="32" t="s">
        <v>96</v>
      </c>
      <c r="E546" s="20">
        <v>12226</v>
      </c>
      <c r="F546" s="16">
        <f>1083288+E546</f>
        <v>1095514</v>
      </c>
    </row>
    <row r="547" spans="1:6" ht="15.95" customHeight="1" x14ac:dyDescent="0.2">
      <c r="A547" s="14"/>
      <c r="B547" s="14"/>
      <c r="C547" s="14"/>
      <c r="D547" s="15" t="s">
        <v>4</v>
      </c>
      <c r="E547" s="16">
        <f>SUBTOTAL(9,E546)</f>
        <v>12226</v>
      </c>
    </row>
    <row r="548" spans="1:6" ht="15.95" customHeight="1" x14ac:dyDescent="0.2">
      <c r="A548" s="14"/>
      <c r="B548" s="14"/>
      <c r="C548" s="14"/>
      <c r="D548" s="15"/>
    </row>
    <row r="549" spans="1:6" ht="15.95" customHeight="1" thickBot="1" x14ac:dyDescent="0.25">
      <c r="D549" s="31" t="s">
        <v>11</v>
      </c>
      <c r="E549" s="46">
        <f>E543+E302+E273+E238+E221+E204+E263</f>
        <v>1985287.08</v>
      </c>
    </row>
    <row r="550" spans="1:6" ht="15.95" customHeight="1" thickTop="1" x14ac:dyDescent="0.2"/>
  </sheetData>
  <customSheetViews>
    <customSheetView guid="{42656511-B4D8-4F96-B13E-D97906B3341F}" scale="150" showPageBreaks="1" fitToPage="1" printArea="1" view="pageBreakPreview" topLeftCell="A191">
      <selection activeCell="F198" sqref="F198"/>
      <rowBreaks count="7" manualBreakCount="7">
        <brk id="42" max="7" man="1"/>
        <brk id="78" max="7" man="1"/>
        <brk id="120" max="7" man="1"/>
        <brk id="163" max="7" man="1"/>
        <brk id="205" max="7" man="1"/>
        <brk id="254" max="7" man="1"/>
        <brk id="301" max="7" man="1"/>
      </rowBreaks>
      <pageMargins left="0.5" right="0.5" top="0.5" bottom="0.5" header="0.3" footer="0.3"/>
      <printOptions horizontalCentered="1"/>
      <pageSetup scale="98" fitToHeight="0" orientation="portrait" r:id="rId1"/>
      <headerFooter differentFirst="1" alignWithMargins="0">
        <oddFooter>&amp;C- &amp;P -</oddFooter>
        <firstFooter>&amp;C- &amp;P -</firstFooter>
      </headerFooter>
    </customSheetView>
    <customSheetView guid="{C6D943DA-BB19-43A1-B830-736D9C012146}" scale="150" showPageBreaks="1" fitToPage="1" printArea="1" view="pageBreakPreview" topLeftCell="A214">
      <selection activeCell="D249" sqref="D249"/>
      <rowBreaks count="5" manualBreakCount="5">
        <brk id="44" max="7" man="1"/>
        <brk id="90" max="7" man="1"/>
        <brk id="136" max="7" man="1"/>
        <brk id="182" max="7" man="1"/>
        <brk id="231" max="7" man="1"/>
      </rowBreaks>
      <pageMargins left="0.5" right="0.5" top="0.5" bottom="0.5" header="0.3" footer="0.3"/>
      <printOptions horizontalCentered="1"/>
      <pageSetup scale="98" fitToHeight="0" orientation="portrait" r:id="rId2"/>
      <headerFooter differentFirst="1" alignWithMargins="0">
        <oddFooter>&amp;C- &amp;P -</oddFooter>
        <firstFooter>&amp;C- &amp;P -</firstFooter>
      </headerFooter>
    </customSheetView>
  </customSheetViews>
  <mergeCells count="1">
    <mergeCell ref="J103:N107"/>
  </mergeCells>
  <phoneticPr fontId="18" type="noConversion"/>
  <printOptions horizontalCentered="1"/>
  <pageMargins left="0.5" right="0.5" top="0.5" bottom="0.5" header="0.3" footer="0.3"/>
  <pageSetup fitToHeight="0" orientation="portrait" r:id="rId3"/>
  <headerFooter differentFirst="1" alignWithMargins="0">
    <oddFooter>&amp;C- &amp;P -</oddFooter>
    <firstFooter>&amp;C- &amp;P -</firstFooter>
  </headerFooter>
  <rowBreaks count="8" manualBreakCount="8">
    <brk id="43" max="5" man="1"/>
    <brk id="98" max="5" man="1"/>
    <brk id="146" max="5" man="1"/>
    <brk id="195" max="5" man="1"/>
    <brk id="243" max="5" man="1"/>
    <brk id="277" max="16383" man="1"/>
    <brk id="323" max="16383" man="1"/>
    <brk id="4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2026-06-04T12:55:19Z</cp:lastPrinted>
  <dcterms:created xsi:type="dcterms:W3CDTF">2007-01-29T16:59:23Z</dcterms:created>
  <dcterms:modified xsi:type="dcterms:W3CDTF">2026-06-10T15:38:06Z</dcterms:modified>
</cp:coreProperties>
</file>